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Residencial" sheetId="1" r:id="rId1"/>
    <sheet name="Comercial" sheetId="2" r:id="rId2"/>
    <sheet name="Industrial" sheetId="3" r:id="rId3"/>
    <sheet name="Demolição" sheetId="4" r:id="rId4"/>
    <sheet name="Diversos Res." sheetId="8" r:id="rId5"/>
    <sheet name="Diversos Com. Ind." sheetId="9" r:id="rId6"/>
    <sheet name="Tabela de Valores 2026" sheetId="5" r:id="rId7"/>
    <sheet name="% Legalização" sheetId="6" state="hidden" r:id="rId8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27" i="8"/>
  <c r="D27" i="9"/>
  <c r="D23" i="4"/>
  <c r="H130" i="5"/>
  <c r="H129"/>
  <c r="D27" i="3"/>
  <c r="D27" i="2"/>
  <c r="D27" i="1"/>
  <c r="E29" i="9"/>
  <c r="E27" s="1"/>
  <c r="K24"/>
  <c r="I24"/>
  <c r="K23"/>
  <c r="I23"/>
  <c r="K21"/>
  <c r="I21"/>
  <c r="E21"/>
  <c r="K20"/>
  <c r="I20"/>
  <c r="E20"/>
  <c r="K19"/>
  <c r="I19"/>
  <c r="E19"/>
  <c r="D17"/>
  <c r="D21" s="1"/>
  <c r="D16"/>
  <c r="D20" s="1"/>
  <c r="D15"/>
  <c r="D19" s="1"/>
  <c r="D17" i="3"/>
  <c r="D15"/>
  <c r="D19" s="1"/>
  <c r="E19" s="1"/>
  <c r="D17" i="2"/>
  <c r="D21" s="1"/>
  <c r="E21" s="1"/>
  <c r="D15"/>
  <c r="D19" s="1"/>
  <c r="K24" i="8"/>
  <c r="K23"/>
  <c r="K21"/>
  <c r="K20"/>
  <c r="I19"/>
  <c r="I21"/>
  <c r="I23"/>
  <c r="I24"/>
  <c r="I20"/>
  <c r="K19"/>
  <c r="D16"/>
  <c r="D20" s="1"/>
  <c r="D15"/>
  <c r="D19" s="1"/>
  <c r="E29"/>
  <c r="E27" s="1"/>
  <c r="E21"/>
  <c r="E20"/>
  <c r="E19"/>
  <c r="D17"/>
  <c r="D21" s="1"/>
  <c r="K19" i="1"/>
  <c r="K21"/>
  <c r="K22"/>
  <c r="K23"/>
  <c r="K20"/>
  <c r="E20"/>
  <c r="I21"/>
  <c r="I22"/>
  <c r="I23"/>
  <c r="I20"/>
  <c r="E21"/>
  <c r="E19"/>
  <c r="D17"/>
  <c r="D21" s="1"/>
  <c r="D15"/>
  <c r="I19"/>
  <c r="C151" i="5"/>
  <c r="D23" i="9" l="1"/>
  <c r="D17" i="4"/>
  <c r="D16"/>
  <c r="D15"/>
  <c r="D102" i="5"/>
  <c r="D108" s="1"/>
  <c r="D112" s="1"/>
  <c r="D101"/>
  <c r="D107" s="1"/>
  <c r="D111" s="1"/>
  <c r="D100"/>
  <c r="D99"/>
  <c r="D98"/>
  <c r="D97"/>
  <c r="E125"/>
  <c r="E124"/>
  <c r="E123"/>
  <c r="E122"/>
  <c r="I122"/>
  <c r="I123"/>
  <c r="I124"/>
  <c r="I125"/>
  <c r="F122"/>
  <c r="F123"/>
  <c r="F124"/>
  <c r="F125"/>
  <c r="F121"/>
  <c r="D18" i="4" s="1"/>
  <c r="I121" i="5"/>
  <c r="I61"/>
  <c r="I68"/>
  <c r="I69"/>
  <c r="F68"/>
  <c r="F69"/>
  <c r="F61"/>
  <c r="F67"/>
  <c r="F60"/>
  <c r="I67"/>
  <c r="I60"/>
  <c r="F51"/>
  <c r="F52"/>
  <c r="F53"/>
  <c r="F54"/>
  <c r="F50"/>
  <c r="I51"/>
  <c r="I52"/>
  <c r="I53"/>
  <c r="I54"/>
  <c r="I50"/>
  <c r="F31"/>
  <c r="F32"/>
  <c r="F30"/>
  <c r="F34" s="1"/>
  <c r="F24"/>
  <c r="I31"/>
  <c r="I32"/>
  <c r="I30"/>
  <c r="F23"/>
  <c r="F26" s="1"/>
  <c r="I23"/>
  <c r="I24"/>
  <c r="F14"/>
  <c r="F15"/>
  <c r="F16"/>
  <c r="F17"/>
  <c r="I14"/>
  <c r="I15"/>
  <c r="I16"/>
  <c r="I17"/>
  <c r="F13"/>
  <c r="I13"/>
  <c r="F19" l="1"/>
  <c r="D22" i="1" s="1"/>
  <c r="D125" i="5"/>
  <c r="D124"/>
  <c r="D123"/>
  <c r="D122"/>
  <c r="D121"/>
  <c r="E50"/>
  <c r="E68" s="1"/>
  <c r="D50"/>
  <c r="D22" i="3"/>
  <c r="E23" s="1"/>
  <c r="E33" i="5"/>
  <c r="D33"/>
  <c r="E32"/>
  <c r="D32"/>
  <c r="E31"/>
  <c r="D31"/>
  <c r="E30"/>
  <c r="D30"/>
  <c r="D22" i="2"/>
  <c r="E23" s="1"/>
  <c r="E25" i="5"/>
  <c r="D25"/>
  <c r="E24"/>
  <c r="D24"/>
  <c r="E23"/>
  <c r="D23"/>
  <c r="E18"/>
  <c r="D18"/>
  <c r="E17"/>
  <c r="D17"/>
  <c r="E16"/>
  <c r="D16"/>
  <c r="E15"/>
  <c r="D15"/>
  <c r="E14"/>
  <c r="D14"/>
  <c r="E28" i="3"/>
  <c r="E27" s="1"/>
  <c r="E28" i="2"/>
  <c r="E27" s="1"/>
  <c r="E28" i="1"/>
  <c r="E27" s="1"/>
  <c r="D16" i="2" l="1"/>
  <c r="D20" s="1"/>
  <c r="E20" s="1"/>
  <c r="D16" i="1"/>
  <c r="D20" s="1"/>
  <c r="D16" i="3"/>
  <c r="D20" s="1"/>
  <c r="E20" s="1"/>
  <c r="D23" i="8"/>
  <c r="D19" i="1"/>
  <c r="E61" i="5"/>
  <c r="D68"/>
  <c r="E55"/>
  <c r="E53"/>
  <c r="E51"/>
  <c r="E19" i="2"/>
  <c r="E67" i="5"/>
  <c r="D55"/>
  <c r="D69"/>
  <c r="D61"/>
  <c r="D53"/>
  <c r="D51"/>
  <c r="D67"/>
  <c r="E22" i="3"/>
  <c r="E22" i="2"/>
  <c r="D19" i="4"/>
  <c r="E54" i="5"/>
  <c r="E62"/>
  <c r="E70"/>
  <c r="D54"/>
  <c r="D62"/>
  <c r="D70"/>
  <c r="E69"/>
  <c r="E52"/>
  <c r="E60"/>
  <c r="D52"/>
  <c r="D60"/>
  <c r="D23" i="1" l="1"/>
  <c r="D21" i="3"/>
  <c r="E21" s="1"/>
  <c r="E22" i="1"/>
  <c r="E23"/>
  <c r="D23" i="2"/>
  <c r="D30" i="1" l="1"/>
  <c r="D30" i="9"/>
  <c r="D30" i="8"/>
  <c r="D30" i="2"/>
  <c r="D23" i="3"/>
  <c r="D30" l="1"/>
  <c r="D25" i="4"/>
</calcChain>
</file>

<file path=xl/sharedStrings.xml><?xml version="1.0" encoding="utf-8"?>
<sst xmlns="http://schemas.openxmlformats.org/spreadsheetml/2006/main" count="393" uniqueCount="108">
  <si>
    <t>RESIDENCIAL</t>
  </si>
  <si>
    <t>Trata-se de legalização?</t>
  </si>
  <si>
    <t>Preencha com “x”:</t>
  </si>
  <si>
    <t>Sim</t>
  </si>
  <si>
    <t>Não</t>
  </si>
  <si>
    <t>m²</t>
  </si>
  <si>
    <t>Soma dos lados do terreno que tem acesso à rua</t>
  </si>
  <si>
    <t>metros lineares</t>
  </si>
  <si>
    <t>Aprovação:</t>
  </si>
  <si>
    <t>Valor do ISSQN:</t>
  </si>
  <si>
    <t>Valor devido à PMS em relação à aprovação do Projeto:</t>
  </si>
  <si>
    <t>Preencha os dados em questão nas células cinzas das abas desejadas.</t>
  </si>
  <si>
    <t>Atenção: Os resultados são aproximados e podem variar. Cada projeto possui situações específicas que devem ser analisadas caso a caso.</t>
  </si>
  <si>
    <t>COMERCIAL</t>
  </si>
  <si>
    <t>INDUSTRIAL</t>
  </si>
  <si>
    <t>DEMOLIÇÃO:</t>
  </si>
  <si>
    <t>A legalização de demolição não possui % de acréscimo.</t>
  </si>
  <si>
    <t>Área total a ser demolida:</t>
  </si>
  <si>
    <t>Demolição:</t>
  </si>
  <si>
    <t>Valor devido à PMS em relação à demolição:</t>
  </si>
  <si>
    <t>ISSQN</t>
  </si>
  <si>
    <t>Residencial</t>
  </si>
  <si>
    <t>R$ / m²</t>
  </si>
  <si>
    <t>Até 80,00 m²</t>
  </si>
  <si>
    <t>De 80,01 m² até 120 m²</t>
  </si>
  <si>
    <t>De 120,01 m² até 180 m²</t>
  </si>
  <si>
    <t>De 180,01 m² até 250 m²</t>
  </si>
  <si>
    <t>De 250,01m² a 500m²</t>
  </si>
  <si>
    <r>
      <rPr>
        <b/>
        <sz val="10"/>
        <rFont val="Calibri"/>
        <family val="2"/>
      </rPr>
      <t>*</t>
    </r>
    <r>
      <rPr>
        <sz val="10"/>
        <rFont val="Calibri"/>
        <family val="2"/>
      </rPr>
      <t xml:space="preserve"> Acima de 500m²</t>
    </r>
  </si>
  <si>
    <r>
      <rPr>
        <b/>
        <sz val="10"/>
        <rFont val="Calibri"/>
        <family val="2"/>
      </rPr>
      <t>*</t>
    </r>
    <r>
      <rPr>
        <sz val="10"/>
        <rFont val="Calibri"/>
        <family val="2"/>
      </rPr>
      <t xml:space="preserve"> Referente apenas às Taxas. Conforme Decreto 27.034/2022, nesses casos, o ISSQN será analisado pela Auditoria Fiscal.</t>
    </r>
  </si>
  <si>
    <t>Comercial</t>
  </si>
  <si>
    <t>Até 150,00 m²</t>
  </si>
  <si>
    <t>De 150,01 m² a 500²</t>
  </si>
  <si>
    <t>Industrial</t>
  </si>
  <si>
    <t>De 150,01 m² até 300 m²</t>
  </si>
  <si>
    <t>De 300,01 m² até 500 m²</t>
  </si>
  <si>
    <t>Legalização - Lei nº 12.927/23</t>
  </si>
  <si>
    <t>TAXAS:</t>
  </si>
  <si>
    <t>Até 69,99 m²</t>
  </si>
  <si>
    <t>Não há acréscimo nas TAXAS.</t>
  </si>
  <si>
    <t>De 70 m² até 119,99 m²</t>
  </si>
  <si>
    <t>Acréscimo de 25% nas TAXAS:</t>
  </si>
  <si>
    <t>De 120 m² até 179,99 m²</t>
  </si>
  <si>
    <t>Acréscimo de 50% nas TAXAS:</t>
  </si>
  <si>
    <t>De 180 m² até 249,99 m²</t>
  </si>
  <si>
    <t>Acréscimo de 75% nas TAXAS:</t>
  </si>
  <si>
    <t>Acima de 250 m²</t>
  </si>
  <si>
    <t>Acréscimo de 100% nas TAXAS:</t>
  </si>
  <si>
    <t>De 0 até 150,00 m²</t>
  </si>
  <si>
    <t>De 150,01 m² a 300²</t>
  </si>
  <si>
    <t>De 300,01 m² a 300²</t>
  </si>
  <si>
    <t>Legalização - Lei nº 12.303/21</t>
  </si>
  <si>
    <t>Até 200,00 m²</t>
  </si>
  <si>
    <t>De 200,01 m² até 300 m²</t>
  </si>
  <si>
    <t>Acima de 300,01 m²</t>
  </si>
  <si>
    <t>Legalização - Lei nº 11.858/19</t>
  </si>
  <si>
    <t>Até 100,00 m²</t>
  </si>
  <si>
    <t>De 100,01 m² até 200 m²</t>
  </si>
  <si>
    <t>Demolição</t>
  </si>
  <si>
    <t>Residencial, Comercial ou Industrial</t>
  </si>
  <si>
    <t>+</t>
  </si>
  <si>
    <t>Acima de 250,01 m²</t>
  </si>
  <si>
    <t>Certidões</t>
  </si>
  <si>
    <t>VALORES FIXOS:</t>
  </si>
  <si>
    <t>Taxa de Aprovação</t>
  </si>
  <si>
    <t>Valor fixo:</t>
  </si>
  <si>
    <t>Taxa de Alvará</t>
  </si>
  <si>
    <t>Alvará de Substuição
(Sem acréscimo ou com decréscimo de área)</t>
  </si>
  <si>
    <t>Alvará de Revalidação</t>
  </si>
  <si>
    <t>Aprovação de Projeto</t>
  </si>
  <si>
    <t>Conclusão de Demolição</t>
  </si>
  <si>
    <t>Apenas Certidão</t>
  </si>
  <si>
    <t>Adaptação / Reforma</t>
  </si>
  <si>
    <t>Residencial m²</t>
  </si>
  <si>
    <t>%</t>
  </si>
  <si>
    <t>ISSQN Residencial m²</t>
  </si>
  <si>
    <t>Comercial m²</t>
  </si>
  <si>
    <t>Industrial m²</t>
  </si>
  <si>
    <t>Tabela de valores 2026</t>
  </si>
  <si>
    <t>Simulação de Valores de Construção 2026</t>
  </si>
  <si>
    <t>Taxa de Aprovação e Fiscalização</t>
  </si>
  <si>
    <t>Taxa de Análise</t>
  </si>
  <si>
    <t>Taxa de Certificação</t>
  </si>
  <si>
    <t>Taxa de Alvará de licença</t>
  </si>
  <si>
    <t>R$ / unidade</t>
  </si>
  <si>
    <t>Quantidade de alvarás</t>
  </si>
  <si>
    <t>Construção nova / Ampliação / Acréscimos / Regularizações</t>
  </si>
  <si>
    <t>Movimentação de terra / Reforma / Autenticação / Adaptação</t>
  </si>
  <si>
    <t>Taxa de Certidão Extra</t>
  </si>
  <si>
    <t>Reajuste - IPCA-E:</t>
  </si>
  <si>
    <t>Taxa de Análise:</t>
  </si>
  <si>
    <t>Taxa de Alvará de Licença:</t>
  </si>
  <si>
    <t>Quantidade de Alvarás:</t>
  </si>
  <si>
    <t>Taxa de Aprovação e Fiscalização:</t>
  </si>
  <si>
    <t>OCULTAR</t>
  </si>
  <si>
    <t>Área total a ser construída / ampliada / legalizada:</t>
  </si>
  <si>
    <t>Movimentação de terra / reforma / autenticação / Adaptação:</t>
  </si>
  <si>
    <t>*Valor devido à PMS em relação à Certidão de Conclusão:</t>
  </si>
  <si>
    <t>Área solicitada da Certidão:</t>
  </si>
  <si>
    <t>*Valor devido à PMS em relação à Certidão de Demolição:</t>
  </si>
  <si>
    <t>-</t>
  </si>
  <si>
    <t>Valor unitário:</t>
  </si>
  <si>
    <t>*Valor total devido à PMS</t>
  </si>
  <si>
    <t>TAXA DE CONSTRUÇÃO CIVIL</t>
  </si>
  <si>
    <t>***Caso sejam emitidas demais certidões, terão o valor unitário de R$ 50,00.</t>
  </si>
  <si>
    <r>
      <t>*</t>
    </r>
    <r>
      <rPr>
        <b/>
        <u/>
        <sz val="10"/>
        <color theme="0" tint="-0.499984740745262"/>
        <rFont val="Calibri"/>
        <family val="2"/>
      </rPr>
      <t>Substituição de Projetos</t>
    </r>
    <r>
      <rPr>
        <b/>
        <sz val="10"/>
        <color theme="0" tint="-0.499984740745262"/>
        <rFont val="Calibri"/>
        <family val="2"/>
      </rPr>
      <t xml:space="preserve"> SEM alteração de área: </t>
    </r>
    <r>
      <rPr>
        <sz val="10"/>
        <color theme="0" tint="-0.499984740745262"/>
        <rFont val="Calibri"/>
        <family val="2"/>
      </rPr>
      <t>apenas Taxa de Alvará de Licença</t>
    </r>
  </si>
  <si>
    <r>
      <t>**</t>
    </r>
    <r>
      <rPr>
        <b/>
        <u/>
        <sz val="10"/>
        <color theme="0" tint="-0.34998626667073579"/>
        <rFont val="Calibri"/>
        <family val="2"/>
      </rPr>
      <t>Revalidação de Alvará</t>
    </r>
    <r>
      <rPr>
        <b/>
        <sz val="10"/>
        <color theme="0" tint="-0.34998626667073579"/>
        <rFont val="Calibri"/>
        <family val="2"/>
      </rPr>
      <t xml:space="preserve">: </t>
    </r>
    <r>
      <rPr>
        <sz val="10"/>
        <color theme="0" tint="-0.34998626667073579"/>
        <rFont val="Calibri"/>
        <family val="2"/>
      </rPr>
      <t>apenas Taxa de Alvará de Licença</t>
    </r>
  </si>
  <si>
    <r>
      <t>*</t>
    </r>
    <r>
      <rPr>
        <b/>
        <u/>
        <sz val="10"/>
        <color theme="0" tint="-0.499984740745262"/>
        <rFont val="Calibri"/>
        <family val="2"/>
      </rPr>
      <t>Substituição de Projetos</t>
    </r>
    <r>
      <rPr>
        <b/>
        <sz val="10"/>
        <color theme="0" tint="-0.499984740745262"/>
        <rFont val="Calibri"/>
        <family val="2"/>
      </rPr>
      <t xml:space="preserve"> COM alteração de área:</t>
    </r>
    <r>
      <rPr>
        <sz val="10"/>
        <color theme="0" tint="-0.499984740745262"/>
        <rFont val="Calibri"/>
        <family val="2"/>
      </rPr>
      <t xml:space="preserve"> Considerar a diferença de área em relação à aprovação anterior</t>
    </r>
  </si>
</sst>
</file>

<file path=xl/styles.xml><?xml version="1.0" encoding="utf-8"?>
<styleSheet xmlns="http://schemas.openxmlformats.org/spreadsheetml/2006/main">
  <numFmts count="4">
    <numFmt numFmtId="44" formatCode="_-&quot;R$&quot;\ * #,##0.00_-;\-&quot;R$&quot;\ * #,##0.00_-;_-&quot;R$&quot;\ * &quot;-&quot;??_-;_-@_-"/>
    <numFmt numFmtId="164" formatCode="[$R$-416]\ #,##0.00;[Red]\-[$R$-416]\ #,##0.00"/>
    <numFmt numFmtId="165" formatCode="[$R$-416]\ #,##0.0000;[Red]\-[$R$-416]\ #,##0.0000"/>
    <numFmt numFmtId="166" formatCode="_-&quot;R$&quot;\ * #,##0.0000_-;\-&quot;R$&quot;\ * #,##0.0000_-;_-&quot;R$&quot;\ * &quot;-&quot;??_-;_-@_-"/>
  </numFmts>
  <fonts count="19">
    <font>
      <sz val="10"/>
      <name val="Arial"/>
      <family val="2"/>
    </font>
    <font>
      <sz val="10"/>
      <name val="Calibri"/>
      <family val="2"/>
    </font>
    <font>
      <b/>
      <sz val="12"/>
      <color rgb="FFFFFFFF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Arial"/>
      <family val="2"/>
    </font>
    <font>
      <b/>
      <sz val="8"/>
      <name val="Calibri"/>
      <family val="2"/>
    </font>
    <font>
      <b/>
      <sz val="10"/>
      <name val="Arial"/>
      <family val="2"/>
    </font>
    <font>
      <b/>
      <sz val="10"/>
      <color theme="0"/>
      <name val="Calibri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Calibri"/>
      <family val="2"/>
    </font>
    <font>
      <b/>
      <sz val="10"/>
      <color theme="0" tint="-0.499984740745262"/>
      <name val="Calibri"/>
      <family val="2"/>
    </font>
    <font>
      <b/>
      <u/>
      <sz val="10"/>
      <color theme="0" tint="-0.499984740745262"/>
      <name val="Calibri"/>
      <family val="2"/>
    </font>
    <font>
      <b/>
      <sz val="10"/>
      <color theme="0" tint="-0.249977111117893"/>
      <name val="Calibri"/>
      <family val="2"/>
    </font>
    <font>
      <b/>
      <sz val="10"/>
      <color theme="0" tint="-0.34998626667073579"/>
      <name val="Calibri"/>
      <family val="2"/>
    </font>
    <font>
      <b/>
      <u/>
      <sz val="10"/>
      <color theme="0" tint="-0.34998626667073579"/>
      <name val="Calibri"/>
      <family val="2"/>
    </font>
    <font>
      <sz val="10"/>
      <color theme="0" tint="-0.499984740745262"/>
      <name val="Calibri"/>
      <family val="2"/>
    </font>
    <font>
      <sz val="10"/>
      <color theme="0" tint="-0.34998626667073579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38"/>
      </patternFill>
    </fill>
    <fill>
      <patternFill patternType="solid">
        <fgColor rgb="FFDEE6EF"/>
        <bgColor rgb="FFDDDDDD"/>
      </patternFill>
    </fill>
    <fill>
      <patternFill patternType="solid">
        <fgColor rgb="FF00FFFF"/>
        <bgColor rgb="FF00FFFF"/>
      </patternFill>
    </fill>
    <fill>
      <patternFill patternType="solid">
        <fgColor rgb="FFFF00FF"/>
        <bgColor rgb="FFFF00FF"/>
      </patternFill>
    </fill>
    <fill>
      <patternFill patternType="solid">
        <fgColor rgb="FFFFFFD7"/>
        <bgColor rgb="FFFFFFFF"/>
      </patternFill>
    </fill>
    <fill>
      <patternFill patternType="solid">
        <fgColor rgb="FFFFFFA6"/>
        <bgColor rgb="FFFFFFD7"/>
      </patternFill>
    </fill>
    <fill>
      <patternFill patternType="solid">
        <fgColor rgb="FFFFFF38"/>
        <bgColor rgb="FFFFFF00"/>
      </patternFill>
    </fill>
    <fill>
      <patternFill patternType="solid">
        <fgColor rgb="FFE6E905"/>
        <bgColor rgb="FFFFFF00"/>
      </patternFill>
    </fill>
    <fill>
      <patternFill patternType="solid">
        <fgColor rgb="FF0000FF"/>
        <bgColor rgb="FF0000FF"/>
      </patternFill>
    </fill>
    <fill>
      <patternFill patternType="solid">
        <fgColor rgb="FFDDDDDD"/>
        <bgColor rgb="FFDEE6EF"/>
      </patternFill>
    </fill>
    <fill>
      <patternFill patternType="solid">
        <fgColor theme="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00"/>
        <bgColor rgb="FF993300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4" fontId="3" fillId="5" borderId="1" xfId="0" applyNumberFormat="1" applyFont="1" applyFill="1" applyBorder="1" applyAlignment="1" applyProtection="1">
      <alignment horizontal="center"/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/>
    <xf numFmtId="0" fontId="1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left" vertical="center"/>
    </xf>
    <xf numFmtId="0" fontId="1" fillId="0" borderId="0" xfId="0" applyFont="1" applyAlignment="1"/>
    <xf numFmtId="164" fontId="1" fillId="0" borderId="0" xfId="0" applyNumberFormat="1" applyFont="1"/>
    <xf numFmtId="0" fontId="5" fillId="0" borderId="0" xfId="0" applyFont="1"/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9" fontId="1" fillId="0" borderId="0" xfId="0" applyNumberFormat="1" applyFont="1"/>
    <xf numFmtId="164" fontId="3" fillId="4" borderId="1" xfId="0" applyNumberFormat="1" applyFont="1" applyFill="1" applyBorder="1" applyAlignment="1">
      <alignment horizontal="center"/>
    </xf>
    <xf numFmtId="4" fontId="1" fillId="0" borderId="0" xfId="0" applyNumberFormat="1" applyFont="1"/>
    <xf numFmtId="164" fontId="0" fillId="0" borderId="0" xfId="0" applyNumberFormat="1"/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/>
    </xf>
    <xf numFmtId="2" fontId="3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  <protection hidden="1"/>
    </xf>
    <xf numFmtId="2" fontId="3" fillId="0" borderId="1" xfId="0" applyNumberFormat="1" applyFont="1" applyBorder="1" applyAlignment="1" applyProtection="1">
      <alignment horizontal="center"/>
    </xf>
    <xf numFmtId="165" fontId="1" fillId="0" borderId="1" xfId="0" applyNumberFormat="1" applyFont="1" applyBorder="1" applyAlignment="1" applyProtection="1">
      <alignment horizontal="center"/>
    </xf>
    <xf numFmtId="2" fontId="1" fillId="0" borderId="0" xfId="0" applyNumberFormat="1" applyFont="1" applyBorder="1" applyAlignment="1" applyProtection="1">
      <alignment horizontal="center"/>
    </xf>
    <xf numFmtId="164" fontId="1" fillId="8" borderId="1" xfId="0" applyNumberFormat="1" applyFont="1" applyFill="1" applyBorder="1" applyAlignment="1" applyProtection="1">
      <alignment horizontal="center"/>
    </xf>
    <xf numFmtId="0" fontId="1" fillId="0" borderId="0" xfId="0" applyFont="1" applyProtection="1"/>
    <xf numFmtId="164" fontId="1" fillId="0" borderId="0" xfId="0" applyNumberFormat="1" applyFont="1" applyProtection="1"/>
    <xf numFmtId="0" fontId="1" fillId="0" borderId="0" xfId="0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 vertical="center"/>
    </xf>
    <xf numFmtId="0" fontId="1" fillId="0" borderId="0" xfId="0" applyFont="1" applyProtection="1">
      <protection hidden="1"/>
    </xf>
    <xf numFmtId="165" fontId="1" fillId="0" borderId="0" xfId="0" applyNumberFormat="1" applyFont="1" applyProtection="1"/>
    <xf numFmtId="164" fontId="1" fillId="0" borderId="0" xfId="0" applyNumberFormat="1" applyFont="1" applyAlignment="1" applyProtection="1">
      <alignment horizontal="center"/>
    </xf>
    <xf numFmtId="164" fontId="1" fillId="0" borderId="1" xfId="0" applyNumberFormat="1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7" fillId="1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wrapText="1"/>
    </xf>
    <xf numFmtId="164" fontId="1" fillId="9" borderId="1" xfId="0" applyNumberFormat="1" applyFont="1" applyFill="1" applyBorder="1" applyAlignment="1" applyProtection="1">
      <alignment horizontal="center"/>
    </xf>
    <xf numFmtId="164" fontId="1" fillId="10" borderId="1" xfId="0" applyNumberFormat="1" applyFont="1" applyFill="1" applyBorder="1" applyAlignment="1" applyProtection="1">
      <alignment horizontal="center"/>
    </xf>
    <xf numFmtId="164" fontId="1" fillId="11" borderId="1" xfId="0" applyNumberFormat="1" applyFont="1" applyFill="1" applyBorder="1" applyAlignment="1" applyProtection="1">
      <alignment horizontal="center"/>
    </xf>
    <xf numFmtId="0" fontId="1" fillId="9" borderId="12" xfId="0" applyFont="1" applyFill="1" applyBorder="1" applyAlignment="1" applyProtection="1">
      <alignment horizontal="center"/>
    </xf>
    <xf numFmtId="0" fontId="1" fillId="11" borderId="12" xfId="0" applyFont="1" applyFill="1" applyBorder="1" applyAlignment="1" applyProtection="1">
      <alignment horizontal="center"/>
    </xf>
    <xf numFmtId="0" fontId="1" fillId="8" borderId="14" xfId="0" applyFont="1" applyFill="1" applyBorder="1" applyAlignment="1" applyProtection="1">
      <alignment horizontal="center"/>
    </xf>
    <xf numFmtId="0" fontId="1" fillId="10" borderId="14" xfId="0" applyFont="1" applyFill="1" applyBorder="1" applyAlignment="1" applyProtection="1">
      <alignment horizontal="center"/>
    </xf>
    <xf numFmtId="0" fontId="3" fillId="8" borderId="14" xfId="0" applyFont="1" applyFill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11" borderId="14" xfId="0" applyFont="1" applyFill="1" applyBorder="1" applyAlignment="1" applyProtection="1">
      <alignment horizontal="center"/>
    </xf>
    <xf numFmtId="0" fontId="1" fillId="11" borderId="17" xfId="0" applyFont="1" applyFill="1" applyBorder="1" applyAlignment="1" applyProtection="1">
      <alignment horizontal="center"/>
    </xf>
    <xf numFmtId="0" fontId="3" fillId="8" borderId="19" xfId="0" applyFont="1" applyFill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8" borderId="21" xfId="0" applyFont="1" applyFill="1" applyBorder="1" applyAlignment="1" applyProtection="1">
      <alignment horizontal="center"/>
    </xf>
    <xf numFmtId="0" fontId="1" fillId="9" borderId="2" xfId="0" applyFont="1" applyFill="1" applyBorder="1" applyAlignment="1" applyProtection="1">
      <alignment horizontal="center"/>
    </xf>
    <xf numFmtId="0" fontId="1" fillId="11" borderId="5" xfId="0" applyFont="1" applyFill="1" applyBorder="1" applyAlignment="1" applyProtection="1">
      <alignment horizontal="center"/>
    </xf>
    <xf numFmtId="0" fontId="1" fillId="11" borderId="25" xfId="0" applyFont="1" applyFill="1" applyBorder="1" applyAlignment="1" applyProtection="1">
      <alignment horizontal="center"/>
    </xf>
    <xf numFmtId="0" fontId="1" fillId="11" borderId="26" xfId="0" applyFont="1" applyFill="1" applyBorder="1" applyAlignment="1" applyProtection="1">
      <alignment horizontal="center"/>
    </xf>
    <xf numFmtId="0" fontId="3" fillId="9" borderId="27" xfId="0" applyFont="1" applyFill="1" applyBorder="1" applyAlignment="1" applyProtection="1">
      <alignment horizontal="center"/>
    </xf>
    <xf numFmtId="0" fontId="1" fillId="0" borderId="32" xfId="0" applyFont="1" applyBorder="1" applyAlignment="1" applyProtection="1">
      <alignment horizontal="center"/>
    </xf>
    <xf numFmtId="0" fontId="1" fillId="8" borderId="2" xfId="0" applyFont="1" applyFill="1" applyBorder="1" applyAlignment="1" applyProtection="1">
      <alignment horizontal="center"/>
    </xf>
    <xf numFmtId="0" fontId="1" fillId="9" borderId="5" xfId="0" applyFont="1" applyFill="1" applyBorder="1" applyAlignment="1" applyProtection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65" fontId="1" fillId="0" borderId="0" xfId="0" applyNumberFormat="1" applyFont="1"/>
    <xf numFmtId="166" fontId="1" fillId="0" borderId="0" xfId="1" applyNumberFormat="1" applyFont="1" applyAlignment="1" applyProtection="1">
      <alignment horizontal="center"/>
      <protection hidden="1"/>
    </xf>
    <xf numFmtId="166" fontId="3" fillId="0" borderId="1" xfId="1" applyNumberFormat="1" applyFont="1" applyBorder="1" applyAlignment="1" applyProtection="1">
      <alignment horizontal="center"/>
    </xf>
    <xf numFmtId="166" fontId="1" fillId="0" borderId="1" xfId="1" applyNumberFormat="1" applyFont="1" applyBorder="1"/>
    <xf numFmtId="166" fontId="1" fillId="0" borderId="0" xfId="1" applyNumberFormat="1" applyFont="1"/>
    <xf numFmtId="166" fontId="3" fillId="6" borderId="1" xfId="1" applyNumberFormat="1" applyFont="1" applyFill="1" applyBorder="1" applyAlignment="1">
      <alignment horizontal="center" vertical="center"/>
    </xf>
    <xf numFmtId="166" fontId="3" fillId="7" borderId="1" xfId="1" applyNumberFormat="1" applyFont="1" applyFill="1" applyBorder="1" applyAlignment="1">
      <alignment horizontal="center" vertical="center"/>
    </xf>
    <xf numFmtId="166" fontId="1" fillId="0" borderId="0" xfId="1" applyNumberFormat="1" applyFont="1" applyAlignment="1" applyProtection="1">
      <alignment horizontal="center"/>
    </xf>
    <xf numFmtId="166" fontId="1" fillId="0" borderId="0" xfId="1" applyNumberFormat="1" applyFont="1" applyProtection="1">
      <protection hidden="1"/>
    </xf>
    <xf numFmtId="166" fontId="1" fillId="0" borderId="1" xfId="1" applyNumberFormat="1" applyFont="1" applyBorder="1" applyAlignment="1" applyProtection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6" fontId="3" fillId="0" borderId="3" xfId="1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164" fontId="1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8" borderId="2" xfId="0" applyFont="1" applyFill="1" applyBorder="1" applyAlignment="1" applyProtection="1">
      <alignment horizontal="center"/>
    </xf>
    <xf numFmtId="2" fontId="8" fillId="14" borderId="1" xfId="0" applyNumberFormat="1" applyFont="1" applyFill="1" applyBorder="1" applyAlignment="1" applyProtection="1">
      <alignment horizontal="center"/>
    </xf>
    <xf numFmtId="166" fontId="3" fillId="3" borderId="3" xfId="1" applyNumberFormat="1" applyFont="1" applyFill="1" applyBorder="1" applyAlignment="1">
      <alignment horizontal="center" vertical="center"/>
    </xf>
    <xf numFmtId="164" fontId="1" fillId="8" borderId="8" xfId="0" applyNumberFormat="1" applyFont="1" applyFill="1" applyBorder="1" applyAlignment="1" applyProtection="1">
      <alignment horizontal="center"/>
    </xf>
    <xf numFmtId="0" fontId="3" fillId="0" borderId="32" xfId="0" applyFont="1" applyBorder="1" applyAlignment="1" applyProtection="1">
      <alignment vertical="center" wrapText="1"/>
    </xf>
    <xf numFmtId="0" fontId="3" fillId="0" borderId="33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3" fillId="0" borderId="8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164" fontId="1" fillId="0" borderId="9" xfId="0" applyNumberFormat="1" applyFont="1" applyBorder="1" applyAlignment="1" applyProtection="1">
      <alignment horizontal="center"/>
    </xf>
    <xf numFmtId="166" fontId="1" fillId="0" borderId="8" xfId="1" applyNumberFormat="1" applyFont="1" applyBorder="1"/>
    <xf numFmtId="166" fontId="1" fillId="0" borderId="0" xfId="1" applyNumberFormat="1" applyFont="1" applyBorder="1"/>
    <xf numFmtId="164" fontId="1" fillId="0" borderId="9" xfId="0" applyNumberFormat="1" applyFont="1" applyBorder="1" applyAlignment="1">
      <alignment horizontal="center"/>
    </xf>
    <xf numFmtId="3" fontId="3" fillId="5" borderId="1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22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2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/>
    </xf>
    <xf numFmtId="44" fontId="1" fillId="0" borderId="0" xfId="1" applyFont="1"/>
    <xf numFmtId="44" fontId="0" fillId="0" borderId="0" xfId="1" applyFont="1"/>
    <xf numFmtId="166" fontId="11" fillId="14" borderId="1" xfId="1" applyNumberFormat="1" applyFont="1" applyFill="1" applyBorder="1" applyAlignment="1" applyProtection="1">
      <alignment horizontal="center"/>
      <protection hidden="1"/>
    </xf>
    <xf numFmtId="10" fontId="11" fillId="14" borderId="1" xfId="0" applyNumberFormat="1" applyFont="1" applyFill="1" applyBorder="1"/>
    <xf numFmtId="164" fontId="3" fillId="18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1" fillId="0" borderId="0" xfId="0" applyFont="1" applyBorder="1" applyAlignment="1">
      <alignment horizontal="right"/>
    </xf>
    <xf numFmtId="0" fontId="12" fillId="0" borderId="0" xfId="0" applyFont="1"/>
    <xf numFmtId="0" fontId="15" fillId="0" borderId="0" xfId="0" applyFont="1"/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3" fillId="4" borderId="1" xfId="0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3" fillId="18" borderId="1" xfId="0" applyFont="1" applyFill="1" applyBorder="1" applyAlignment="1">
      <alignment horizontal="right"/>
    </xf>
    <xf numFmtId="0" fontId="6" fillId="0" borderId="2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right"/>
    </xf>
    <xf numFmtId="0" fontId="1" fillId="0" borderId="2" xfId="0" applyFont="1" applyBorder="1" applyAlignment="1" applyProtection="1">
      <alignment horizontal="center" vertical="center"/>
    </xf>
    <xf numFmtId="0" fontId="3" fillId="8" borderId="2" xfId="0" applyFont="1" applyFill="1" applyBorder="1" applyAlignment="1" applyProtection="1">
      <alignment horizontal="center" vertical="center"/>
    </xf>
    <xf numFmtId="0" fontId="3" fillId="16" borderId="1" xfId="0" applyFont="1" applyFill="1" applyBorder="1" applyAlignment="1" applyProtection="1">
      <alignment horizontal="center" vertical="center"/>
    </xf>
    <xf numFmtId="0" fontId="8" fillId="14" borderId="1" xfId="0" applyFont="1" applyFill="1" applyBorder="1" applyAlignment="1" applyProtection="1">
      <alignment horizontal="center" vertical="center" wrapText="1"/>
    </xf>
    <xf numFmtId="0" fontId="3" fillId="8" borderId="1" xfId="0" applyFont="1" applyFill="1" applyBorder="1" applyAlignment="1" applyProtection="1">
      <alignment horizontal="center" vertical="center" wrapText="1"/>
    </xf>
    <xf numFmtId="0" fontId="3" fillId="17" borderId="1" xfId="0" applyFont="1" applyFill="1" applyBorder="1" applyAlignment="1" applyProtection="1">
      <alignment horizontal="center" vertical="center"/>
    </xf>
    <xf numFmtId="0" fontId="3" fillId="8" borderId="2" xfId="0" applyFont="1" applyFill="1" applyBorder="1" applyAlignment="1" applyProtection="1">
      <alignment horizontal="center" vertical="center" wrapText="1"/>
    </xf>
    <xf numFmtId="0" fontId="3" fillId="15" borderId="1" xfId="0" applyFont="1" applyFill="1" applyBorder="1" applyAlignment="1" applyProtection="1">
      <alignment horizontal="center" vertical="center"/>
    </xf>
    <xf numFmtId="0" fontId="3" fillId="8" borderId="1" xfId="0" applyFont="1" applyFill="1" applyBorder="1" applyAlignment="1" applyProtection="1">
      <alignment horizontal="center" vertical="center"/>
    </xf>
    <xf numFmtId="2" fontId="3" fillId="8" borderId="15" xfId="0" applyNumberFormat="1" applyFont="1" applyFill="1" applyBorder="1" applyAlignment="1" applyProtection="1">
      <alignment horizontal="center" vertical="center"/>
    </xf>
    <xf numFmtId="2" fontId="3" fillId="9" borderId="0" xfId="0" applyNumberFormat="1" applyFont="1" applyFill="1" applyBorder="1" applyAlignment="1" applyProtection="1">
      <alignment horizontal="center" vertical="center"/>
    </xf>
    <xf numFmtId="2" fontId="3" fillId="10" borderId="15" xfId="0" applyNumberFormat="1" applyFont="1" applyFill="1" applyBorder="1" applyAlignment="1" applyProtection="1">
      <alignment horizontal="center" vertical="center"/>
    </xf>
    <xf numFmtId="2" fontId="3" fillId="11" borderId="0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2" fontId="3" fillId="0" borderId="15" xfId="0" applyNumberFormat="1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2" fontId="1" fillId="0" borderId="18" xfId="0" applyNumberFormat="1" applyFont="1" applyBorder="1" applyAlignment="1" applyProtection="1">
      <alignment horizontal="center" vertical="center"/>
    </xf>
    <xf numFmtId="2" fontId="1" fillId="0" borderId="33" xfId="0" applyNumberFormat="1" applyFont="1" applyBorder="1" applyAlignment="1" applyProtection="1">
      <alignment horizontal="center" vertical="center"/>
    </xf>
    <xf numFmtId="2" fontId="3" fillId="8" borderId="16" xfId="0" applyNumberFormat="1" applyFont="1" applyFill="1" applyBorder="1" applyAlignment="1" applyProtection="1">
      <alignment horizontal="center" vertical="center"/>
    </xf>
    <xf numFmtId="2" fontId="3" fillId="8" borderId="3" xfId="0" applyNumberFormat="1" applyFont="1" applyFill="1" applyBorder="1" applyAlignment="1" applyProtection="1">
      <alignment horizontal="center" vertical="center"/>
    </xf>
    <xf numFmtId="0" fontId="3" fillId="8" borderId="9" xfId="0" applyFont="1" applyFill="1" applyBorder="1" applyAlignment="1" applyProtection="1">
      <alignment horizontal="center" vertical="center" wrapText="1"/>
    </xf>
    <xf numFmtId="2" fontId="3" fillId="11" borderId="10" xfId="0" applyNumberFormat="1" applyFont="1" applyFill="1" applyBorder="1" applyAlignment="1" applyProtection="1">
      <alignment horizontal="center" vertical="center"/>
    </xf>
    <xf numFmtId="2" fontId="3" fillId="11" borderId="28" xfId="0" applyNumberFormat="1" applyFont="1" applyFill="1" applyBorder="1" applyAlignment="1" applyProtection="1">
      <alignment horizontal="center" vertical="center"/>
    </xf>
    <xf numFmtId="2" fontId="3" fillId="11" borderId="4" xfId="0" applyNumberFormat="1" applyFont="1" applyFill="1" applyBorder="1" applyAlignment="1" applyProtection="1">
      <alignment horizontal="center" vertical="center"/>
    </xf>
    <xf numFmtId="2" fontId="3" fillId="11" borderId="6" xfId="0" applyNumberFormat="1" applyFont="1" applyFill="1" applyBorder="1" applyAlignment="1" applyProtection="1">
      <alignment horizontal="center" vertical="center"/>
    </xf>
    <xf numFmtId="2" fontId="3" fillId="11" borderId="18" xfId="0" applyNumberFormat="1" applyFont="1" applyFill="1" applyBorder="1" applyAlignment="1" applyProtection="1">
      <alignment horizontal="center" vertical="center"/>
    </xf>
    <xf numFmtId="2" fontId="3" fillId="11" borderId="30" xfId="0" applyNumberFormat="1" applyFont="1" applyFill="1" applyBorder="1" applyAlignment="1" applyProtection="1">
      <alignment horizontal="center" vertical="center"/>
    </xf>
    <xf numFmtId="2" fontId="3" fillId="11" borderId="16" xfId="0" applyNumberFormat="1" applyFont="1" applyFill="1" applyBorder="1" applyAlignment="1" applyProtection="1">
      <alignment horizontal="center" vertical="center"/>
    </xf>
    <xf numFmtId="2" fontId="3" fillId="11" borderId="15" xfId="0" applyNumberFormat="1" applyFont="1" applyFill="1" applyBorder="1" applyAlignment="1" applyProtection="1">
      <alignment horizontal="center" vertical="center"/>
    </xf>
    <xf numFmtId="2" fontId="3" fillId="8" borderId="20" xfId="0" applyNumberFormat="1" applyFont="1" applyFill="1" applyBorder="1" applyAlignment="1" applyProtection="1">
      <alignment horizontal="center" vertical="center"/>
    </xf>
    <xf numFmtId="2" fontId="3" fillId="8" borderId="3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3" fillId="8" borderId="3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8" fillId="12" borderId="1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8" fillId="14" borderId="1" xfId="0" applyFont="1" applyFill="1" applyBorder="1" applyAlignment="1" applyProtection="1">
      <alignment horizontal="center"/>
    </xf>
    <xf numFmtId="164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2" fontId="3" fillId="11" borderId="20" xfId="0" applyNumberFormat="1" applyFont="1" applyFill="1" applyBorder="1" applyAlignment="1" applyProtection="1">
      <alignment horizontal="center" vertical="center"/>
    </xf>
    <xf numFmtId="2" fontId="3" fillId="11" borderId="23" xfId="0" applyNumberFormat="1" applyFont="1" applyFill="1" applyBorder="1" applyAlignment="1" applyProtection="1">
      <alignment horizontal="center" vertical="center"/>
    </xf>
    <xf numFmtId="0" fontId="8" fillId="14" borderId="1" xfId="0" applyFont="1" applyFill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34" xfId="0" applyFont="1" applyBorder="1" applyAlignment="1" applyProtection="1">
      <alignment horizontal="center" vertical="center" wrapText="1"/>
    </xf>
    <xf numFmtId="0" fontId="8" fillId="14" borderId="2" xfId="0" applyFont="1" applyFill="1" applyBorder="1" applyAlignment="1" applyProtection="1">
      <alignment horizontal="center"/>
    </xf>
    <xf numFmtId="0" fontId="8" fillId="14" borderId="3" xfId="0" applyFont="1" applyFill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2" fontId="3" fillId="9" borderId="20" xfId="0" applyNumberFormat="1" applyFont="1" applyFill="1" applyBorder="1" applyAlignment="1" applyProtection="1">
      <alignment horizontal="center" vertical="center"/>
    </xf>
    <xf numFmtId="2" fontId="3" fillId="9" borderId="23" xfId="0" applyNumberFormat="1" applyFont="1" applyFill="1" applyBorder="1" applyAlignment="1" applyProtection="1">
      <alignment horizontal="center" vertical="center"/>
    </xf>
    <xf numFmtId="2" fontId="1" fillId="0" borderId="16" xfId="0" applyNumberFormat="1" applyFont="1" applyBorder="1" applyAlignment="1" applyProtection="1">
      <alignment horizontal="center" vertical="center"/>
    </xf>
    <xf numFmtId="2" fontId="1" fillId="0" borderId="3" xfId="0" applyNumberFormat="1" applyFont="1" applyBorder="1" applyAlignment="1" applyProtection="1">
      <alignment horizontal="center" vertical="center"/>
    </xf>
    <xf numFmtId="2" fontId="3" fillId="8" borderId="13" xfId="0" applyNumberFormat="1" applyFont="1" applyFill="1" applyBorder="1" applyAlignment="1" applyProtection="1">
      <alignment horizontal="center" vertical="center"/>
    </xf>
    <xf numFmtId="2" fontId="3" fillId="8" borderId="22" xfId="0" applyNumberFormat="1" applyFont="1" applyFill="1" applyBorder="1" applyAlignment="1" applyProtection="1">
      <alignment horizontal="center" vertical="center"/>
    </xf>
    <xf numFmtId="2" fontId="3" fillId="9" borderId="16" xfId="0" applyNumberFormat="1" applyFont="1" applyFill="1" applyBorder="1" applyAlignment="1" applyProtection="1">
      <alignment horizontal="center" vertical="center"/>
    </xf>
    <xf numFmtId="2" fontId="3" fillId="9" borderId="3" xfId="0" applyNumberFormat="1" applyFont="1" applyFill="1" applyBorder="1" applyAlignment="1" applyProtection="1">
      <alignment horizontal="center" vertical="center"/>
    </xf>
    <xf numFmtId="2" fontId="3" fillId="9" borderId="11" xfId="0" applyNumberFormat="1" applyFont="1" applyFill="1" applyBorder="1" applyAlignment="1" applyProtection="1">
      <alignment horizontal="center" vertical="center"/>
    </xf>
    <xf numFmtId="2" fontId="3" fillId="9" borderId="29" xfId="0" applyNumberFormat="1" applyFont="1" applyFill="1" applyBorder="1" applyAlignment="1" applyProtection="1">
      <alignment horizontal="center" vertical="center"/>
    </xf>
    <xf numFmtId="0" fontId="3" fillId="9" borderId="9" xfId="0" applyFont="1" applyFill="1" applyBorder="1" applyAlignment="1" applyProtection="1">
      <alignment horizontal="center" vertical="center" wrapText="1"/>
    </xf>
    <xf numFmtId="0" fontId="7" fillId="13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DEE6EF"/>
      <rgbColor rgb="FF660066"/>
      <rgbColor rgb="FFFF8080"/>
      <rgbColor rgb="FF0066CC"/>
      <rgbColor rgb="FFDDDDDD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E6E905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  <color rgb="FF00FF00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209550</xdr:colOff>
      <xdr:row>7</xdr:row>
      <xdr:rowOff>114300</xdr:rowOff>
    </xdr:to>
    <xdr:pic>
      <xdr:nvPicPr>
        <xdr:cNvPr id="4" name="Imagem 3" descr="Logo PM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61950"/>
          <a:ext cx="246697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209550</xdr:colOff>
      <xdr:row>7</xdr:row>
      <xdr:rowOff>114300</xdr:rowOff>
    </xdr:to>
    <xdr:pic>
      <xdr:nvPicPr>
        <xdr:cNvPr id="3" name="Imagem 2" descr="Logo PM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61950"/>
          <a:ext cx="2466975" cy="923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209550</xdr:colOff>
      <xdr:row>7</xdr:row>
      <xdr:rowOff>114300</xdr:rowOff>
    </xdr:to>
    <xdr:pic>
      <xdr:nvPicPr>
        <xdr:cNvPr id="3" name="Imagem 2" descr="Logo PM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61950"/>
          <a:ext cx="2466975" cy="923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209550</xdr:colOff>
      <xdr:row>7</xdr:row>
      <xdr:rowOff>114300</xdr:rowOff>
    </xdr:to>
    <xdr:pic>
      <xdr:nvPicPr>
        <xdr:cNvPr id="4" name="Imagem 3" descr="Logo PM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61950"/>
          <a:ext cx="2466975" cy="923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209550</xdr:colOff>
      <xdr:row>7</xdr:row>
      <xdr:rowOff>114300</xdr:rowOff>
    </xdr:to>
    <xdr:pic>
      <xdr:nvPicPr>
        <xdr:cNvPr id="2" name="Imagem 1" descr="Logo PM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61950"/>
          <a:ext cx="2466975" cy="923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209550</xdr:colOff>
      <xdr:row>7</xdr:row>
      <xdr:rowOff>114300</xdr:rowOff>
    </xdr:to>
    <xdr:pic>
      <xdr:nvPicPr>
        <xdr:cNvPr id="2" name="Imagem 1" descr="Logo PM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61950"/>
          <a:ext cx="2466975" cy="923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4</xdr:col>
      <xdr:colOff>600255</xdr:colOff>
      <xdr:row>5</xdr:row>
      <xdr:rowOff>148680</xdr:rowOff>
    </xdr:to>
    <xdr:pic>
      <xdr:nvPicPr>
        <xdr:cNvPr id="4" name="Figura 2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5791320" cy="9615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71</xdr:row>
      <xdr:rowOff>0</xdr:rowOff>
    </xdr:from>
    <xdr:to>
      <xdr:col>4</xdr:col>
      <xdr:colOff>600255</xdr:colOff>
      <xdr:row>76</xdr:row>
      <xdr:rowOff>148680</xdr:rowOff>
    </xdr:to>
    <xdr:pic>
      <xdr:nvPicPr>
        <xdr:cNvPr id="3" name="Figura 2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13954125"/>
          <a:ext cx="5496105" cy="95830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38"/>
  <sheetViews>
    <sheetView showGridLines="0" tabSelected="1" zoomScaleNormal="100" workbookViewId="0">
      <selection activeCell="E7" sqref="E7"/>
    </sheetView>
  </sheetViews>
  <sheetFormatPr defaultColWidth="11.5703125" defaultRowHeight="12.75"/>
  <cols>
    <col min="1" max="1" width="19.85546875" style="1" customWidth="1"/>
    <col min="2" max="3" width="14" style="1" customWidth="1"/>
    <col min="4" max="4" width="20" style="1" bestFit="1" customWidth="1"/>
    <col min="5" max="5" width="14.5703125" style="1" customWidth="1"/>
    <col min="6" max="6" width="13.7109375" style="1" customWidth="1"/>
    <col min="7" max="7" width="9.5703125" style="1" customWidth="1"/>
    <col min="8" max="11" width="0" style="1" hidden="1" customWidth="1"/>
    <col min="12" max="16384" width="11.5703125" style="1"/>
  </cols>
  <sheetData>
    <row r="1" spans="1:1024" ht="15.75">
      <c r="A1" s="139" t="s">
        <v>79</v>
      </c>
      <c r="B1" s="139"/>
      <c r="C1" s="139"/>
      <c r="D1" s="139"/>
      <c r="E1" s="139"/>
      <c r="F1" s="139"/>
      <c r="G1" s="139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</row>
    <row r="2" spans="1:1024">
      <c r="A2" s="4"/>
      <c r="B2" s="5"/>
      <c r="C2" s="5"/>
      <c r="D2" s="5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</row>
    <row r="3" spans="1:1024">
      <c r="A3" s="4"/>
      <c r="D3"/>
      <c r="E3"/>
      <c r="F3" s="6" t="s">
        <v>0</v>
      </c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</row>
    <row r="4" spans="1:1024">
      <c r="A4" s="4"/>
      <c r="D4"/>
      <c r="E4"/>
      <c r="H4" s="2"/>
      <c r="I4" s="3"/>
      <c r="J4" s="3"/>
      <c r="K4" s="3"/>
      <c r="L4" s="3"/>
      <c r="M4" s="3"/>
      <c r="N4" s="3"/>
      <c r="O4" s="3"/>
      <c r="P4" s="3"/>
      <c r="Q4"/>
      <c r="R4"/>
      <c r="S4"/>
      <c r="T4"/>
      <c r="U4"/>
      <c r="V4"/>
      <c r="W4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</row>
    <row r="5" spans="1:1024">
      <c r="A5" s="4"/>
      <c r="D5" s="140" t="s">
        <v>1</v>
      </c>
      <c r="E5" s="140"/>
      <c r="F5" s="140"/>
      <c r="H5" s="2"/>
      <c r="I5" s="3"/>
      <c r="J5" s="3"/>
      <c r="K5" s="3"/>
      <c r="L5" s="3"/>
      <c r="M5" s="3"/>
      <c r="N5" s="3"/>
      <c r="O5" s="3"/>
      <c r="P5" s="3"/>
      <c r="Q5"/>
      <c r="R5"/>
      <c r="S5"/>
      <c r="T5"/>
      <c r="U5"/>
      <c r="V5"/>
      <c r="W5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</row>
    <row r="6" spans="1:1024" ht="12.75" customHeight="1">
      <c r="A6" s="4"/>
      <c r="B6" s="5"/>
      <c r="C6" s="5"/>
      <c r="D6" s="141" t="s">
        <v>2</v>
      </c>
      <c r="E6" s="7" t="s">
        <v>3</v>
      </c>
      <c r="F6" s="7" t="s">
        <v>4</v>
      </c>
      <c r="G6" s="2"/>
      <c r="H6" s="120" t="s">
        <v>94</v>
      </c>
      <c r="I6" s="120" t="s">
        <v>94</v>
      </c>
      <c r="J6" s="120" t="s">
        <v>94</v>
      </c>
      <c r="K6" s="120" t="s">
        <v>94</v>
      </c>
      <c r="L6" s="3"/>
      <c r="M6" s="3"/>
      <c r="N6" s="3"/>
      <c r="O6" s="3"/>
      <c r="P6" s="3"/>
      <c r="Q6"/>
      <c r="R6"/>
      <c r="S6"/>
      <c r="T6"/>
      <c r="U6"/>
      <c r="V6"/>
      <c r="W6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</row>
    <row r="7" spans="1:1024">
      <c r="A7" s="3"/>
      <c r="B7" s="8"/>
      <c r="C7" s="2"/>
      <c r="D7" s="142"/>
      <c r="E7" s="9"/>
      <c r="F7" s="9"/>
      <c r="G7" s="2"/>
      <c r="H7" s="2"/>
      <c r="I7" s="3"/>
      <c r="Q7"/>
      <c r="R7"/>
      <c r="S7"/>
      <c r="T7"/>
      <c r="U7"/>
      <c r="V7"/>
      <c r="W7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</row>
    <row r="8" spans="1:1024">
      <c r="Q8"/>
      <c r="R8"/>
      <c r="S8"/>
      <c r="T8"/>
      <c r="U8"/>
      <c r="V8"/>
      <c r="W8"/>
    </row>
    <row r="9" spans="1:1024">
      <c r="Q9"/>
      <c r="R9"/>
      <c r="S9"/>
      <c r="T9"/>
      <c r="U9"/>
      <c r="V9"/>
      <c r="W9"/>
    </row>
    <row r="10" spans="1:1024">
      <c r="A10"/>
      <c r="B10" s="143" t="s">
        <v>95</v>
      </c>
      <c r="C10" s="143"/>
      <c r="D10" s="143"/>
      <c r="E10" s="10"/>
      <c r="F10" s="11" t="s">
        <v>5</v>
      </c>
      <c r="Q10"/>
      <c r="R10"/>
      <c r="S10"/>
      <c r="T10"/>
      <c r="U10"/>
      <c r="V10"/>
      <c r="W10"/>
    </row>
    <row r="11" spans="1:1024">
      <c r="A11" s="121"/>
      <c r="B11" s="121"/>
      <c r="C11" s="121"/>
      <c r="D11" s="122" t="s">
        <v>92</v>
      </c>
      <c r="E11" s="119"/>
      <c r="F11" s="11"/>
      <c r="G11" s="13"/>
      <c r="Q11"/>
      <c r="R11"/>
      <c r="S11"/>
      <c r="T11"/>
      <c r="U11"/>
      <c r="V11"/>
      <c r="W11"/>
    </row>
    <row r="12" spans="1:1024" hidden="1">
      <c r="A12" s="120" t="s">
        <v>94</v>
      </c>
      <c r="B12" s="148" t="s">
        <v>6</v>
      </c>
      <c r="C12" s="148"/>
      <c r="D12" s="149"/>
      <c r="E12" s="10"/>
      <c r="F12" s="11" t="s">
        <v>7</v>
      </c>
      <c r="G12"/>
      <c r="Q12"/>
      <c r="R12"/>
      <c r="S12"/>
      <c r="T12"/>
      <c r="U12"/>
      <c r="V12"/>
      <c r="W12"/>
    </row>
    <row r="13" spans="1:1024">
      <c r="A13" s="12"/>
      <c r="C13" s="14"/>
      <c r="D13" s="15"/>
      <c r="E13"/>
      <c r="F13" s="16"/>
      <c r="Q13"/>
      <c r="R13"/>
      <c r="S13"/>
      <c r="T13"/>
      <c r="U13"/>
      <c r="V13"/>
      <c r="W13"/>
    </row>
    <row r="14" spans="1:1024">
      <c r="E14"/>
      <c r="F14"/>
      <c r="G14"/>
      <c r="J14"/>
      <c r="K14"/>
      <c r="L14"/>
      <c r="M14"/>
    </row>
    <row r="15" spans="1:1024" hidden="1">
      <c r="A15" s="120" t="s">
        <v>94</v>
      </c>
      <c r="D15" s="17">
        <f>E10*'Tabela de Valores 2026'!D13</f>
        <v>0</v>
      </c>
      <c r="E15"/>
      <c r="F15"/>
      <c r="G15"/>
      <c r="J15"/>
      <c r="K15"/>
      <c r="L15"/>
      <c r="M15"/>
    </row>
    <row r="16" spans="1:1024" s="28" customFormat="1" hidden="1">
      <c r="A16" s="120" t="s">
        <v>94</v>
      </c>
      <c r="D16" s="17">
        <f>E10*'Tabela de Valores 2026'!E14</f>
        <v>0</v>
      </c>
      <c r="E16"/>
      <c r="F16"/>
      <c r="G16"/>
      <c r="J16"/>
      <c r="K16"/>
      <c r="L16"/>
      <c r="M16"/>
    </row>
    <row r="17" spans="1:1024" s="28" customFormat="1" hidden="1">
      <c r="A17" s="120" t="s">
        <v>94</v>
      </c>
      <c r="D17" s="17">
        <f>E11*'Tabela de Valores 2026'!D37</f>
        <v>0</v>
      </c>
      <c r="E17"/>
      <c r="F17"/>
      <c r="G17"/>
      <c r="J17"/>
      <c r="K17"/>
      <c r="L17"/>
      <c r="M17"/>
    </row>
    <row r="18" spans="1:1024">
      <c r="A18"/>
      <c r="B18" s="145" t="s">
        <v>8</v>
      </c>
      <c r="C18" s="146"/>
      <c r="D18" s="147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>
      <c r="B19" s="152" t="s">
        <v>90</v>
      </c>
      <c r="C19" s="152"/>
      <c r="D19" s="18">
        <f>IF(D15=44.57,0,IF(E7=0,D15,IF(E10&lt;'% Legalização'!A3,D15,IF(E10&lt;'% Legalização'!A4,D15*'% Legalização'!C3,IF(E10&lt;'% Legalização'!A5,D15*'% Legalização'!C4,IF(E10&lt;'% Legalização'!A6,D15*'% Legalização'!C5,D15*'% Legalização'!C6))))))</f>
        <v>0</v>
      </c>
      <c r="E19" s="144" t="str">
        <f>IF(E10&lt;'% Legalização'!B2," ",IF(E7&lt;&gt;0,"(Conforme Art.4º da Lei nº 12.927/23)"," "))</f>
        <v xml:space="preserve"> </v>
      </c>
      <c r="F19" s="144"/>
      <c r="G19"/>
      <c r="H19" s="51">
        <v>1</v>
      </c>
      <c r="I19" s="129">
        <f>E10*3.5</f>
        <v>0</v>
      </c>
      <c r="J19" s="51">
        <v>1</v>
      </c>
      <c r="K19" s="128">
        <f>D26*1.5</f>
        <v>0</v>
      </c>
      <c r="N19"/>
    </row>
    <row r="20" spans="1:1024" s="28" customFormat="1">
      <c r="B20" s="152" t="s">
        <v>93</v>
      </c>
      <c r="C20" s="152"/>
      <c r="D20" s="18">
        <f>IF(D16=44.57,0,IF(E7=0,D16,IF(E10&lt;'% Legalização'!A3,D16,IF(E10&lt;'% Legalização'!A4,D16*'% Legalização'!C3,IF(E10&lt;'% Legalização'!A5,D16*'% Legalização'!C4,IF(E10&lt;'% Legalização'!A6,D16*'% Legalização'!C5,D16*'% Legalização'!C6))))))</f>
        <v>0</v>
      </c>
      <c r="E20" s="144" t="str">
        <f>IF(E10&lt;'% Legalização'!B2," ",IF(E7&lt;&gt;0,"(Conforme Art.4º da Lei nº 12.927/23)"," "))</f>
        <v xml:space="preserve"> </v>
      </c>
      <c r="F20" s="144"/>
      <c r="G20"/>
      <c r="H20" s="51">
        <v>1.25</v>
      </c>
      <c r="I20" s="128">
        <f>$E$10*'Tabela de Valores 2026'!$E$13*H20</f>
        <v>0</v>
      </c>
      <c r="J20" s="51">
        <v>1.25</v>
      </c>
      <c r="K20" s="128">
        <f>$D$26*'Tabela de Valores 2026'!$C$129*J20</f>
        <v>0</v>
      </c>
      <c r="N20"/>
    </row>
    <row r="21" spans="1:1024" s="28" customFormat="1">
      <c r="B21" s="152" t="s">
        <v>91</v>
      </c>
      <c r="C21" s="152"/>
      <c r="D21" s="18">
        <f>IF(D17=44.57,0,IF(E7=0,D17,IF(E10&lt;'% Legalização'!A3,D17,IF(E10&lt;'% Legalização'!A4,D17*'% Legalização'!C3,IF(E10&lt;'% Legalização'!A5,D17*'% Legalização'!C4,IF(E10&lt;'% Legalização'!A6,D17*'% Legalização'!C5,D17*'% Legalização'!C6))))))</f>
        <v>0</v>
      </c>
      <c r="E21" s="144" t="str">
        <f>IF(E10&lt;'% Legalização'!B2," ",IF(E7&lt;&gt;0,"(Conforme Art.4º da Lei nº 12.927/23)"," "))</f>
        <v xml:space="preserve"> </v>
      </c>
      <c r="F21" s="144"/>
      <c r="G21"/>
      <c r="H21" s="51">
        <v>1.5</v>
      </c>
      <c r="I21" s="128">
        <f>$E$10*'Tabela de Valores 2026'!$E$13*H21</f>
        <v>0</v>
      </c>
      <c r="J21" s="51">
        <v>1.5</v>
      </c>
      <c r="K21" s="128">
        <f>$D$26*'Tabela de Valores 2026'!$C$129*J21</f>
        <v>0</v>
      </c>
      <c r="N21"/>
    </row>
    <row r="22" spans="1:1024">
      <c r="B22" s="152" t="s">
        <v>9</v>
      </c>
      <c r="C22" s="152"/>
      <c r="D22" s="18">
        <f>IF(E10&gt;=500,'Tabela de Valores 2026'!F19,E10*'Tabela de Valores 2026'!F19)</f>
        <v>0</v>
      </c>
      <c r="E22" s="144" t="str">
        <f>IF(D22="Ação Fiscal Obrigatória","(Conforme Decreto 27.034/2022)"," ")</f>
        <v xml:space="preserve"> </v>
      </c>
      <c r="F22" s="144"/>
      <c r="G22"/>
      <c r="H22" s="51">
        <v>1.75</v>
      </c>
      <c r="I22" s="128">
        <f>$E$10*'Tabela de Valores 2026'!$E$13*H22</f>
        <v>0</v>
      </c>
      <c r="J22" s="51">
        <v>1.75</v>
      </c>
      <c r="K22" s="128">
        <f>$D$26*'Tabela de Valores 2026'!$C$129*J22</f>
        <v>0</v>
      </c>
      <c r="L22" s="19"/>
      <c r="M22" s="19"/>
    </row>
    <row r="23" spans="1:1024">
      <c r="A23" s="150" t="s">
        <v>10</v>
      </c>
      <c r="B23" s="150"/>
      <c r="C23" s="150"/>
      <c r="D23" s="20">
        <f>SUM(D19:D22)</f>
        <v>0</v>
      </c>
      <c r="E23" s="151" t="str">
        <f>IF(D22="Ação Fiscal Obrigatória","+ Apuração da Auditoria Fiscal"," ")</f>
        <v xml:space="preserve"> </v>
      </c>
      <c r="F23" s="151"/>
      <c r="H23" s="51">
        <v>2</v>
      </c>
      <c r="I23" s="128">
        <f>$E$10*'Tabela de Valores 2026'!$E$13*H23</f>
        <v>0</v>
      </c>
      <c r="J23" s="51">
        <v>2</v>
      </c>
      <c r="K23" s="128">
        <f>$D$26*'Tabela de Valores 2026'!$C$129*J23</f>
        <v>0</v>
      </c>
      <c r="L23" s="21"/>
      <c r="M23" s="22"/>
    </row>
    <row r="24" spans="1:1024">
      <c r="A24" s="23"/>
      <c r="B24" s="24"/>
      <c r="C24" s="25"/>
      <c r="D24" s="26"/>
      <c r="E24" s="27"/>
      <c r="I24" s="21"/>
      <c r="J24" s="21"/>
      <c r="K24" s="21"/>
      <c r="L24" s="21"/>
      <c r="M24" s="22"/>
    </row>
    <row r="25" spans="1:1024">
      <c r="A25" s="23"/>
      <c r="B25" s="24"/>
      <c r="C25" s="25"/>
      <c r="D25" s="26"/>
      <c r="E25" s="27"/>
      <c r="H25"/>
      <c r="I25"/>
      <c r="J25"/>
      <c r="K25"/>
      <c r="L25" s="21"/>
      <c r="M25" s="22"/>
    </row>
    <row r="26" spans="1:1024">
      <c r="A26" s="152" t="s">
        <v>98</v>
      </c>
      <c r="B26" s="152"/>
      <c r="C26" s="152"/>
      <c r="D26" s="10"/>
      <c r="E26" s="11" t="s">
        <v>5</v>
      </c>
      <c r="I26" s="21"/>
      <c r="J26" s="21"/>
      <c r="K26" s="21"/>
      <c r="L26" s="21"/>
      <c r="M26" s="22"/>
    </row>
    <row r="27" spans="1:1024">
      <c r="A27" s="153" t="s">
        <v>97</v>
      </c>
      <c r="B27" s="153"/>
      <c r="C27" s="153"/>
      <c r="D27" s="132">
        <f>IF(D26=0,0,IF(E7=0,D26*'Tabela de Valores 2026'!C129,IF(D26&lt;'% Legalização'!A3,D26*'Tabela de Valores 2026'!C129,IF(D26&lt;'% Legalização'!A4,D26*'Tabela de Valores 2026'!C129*'% Legalização'!C3,IF(D26&lt;'% Legalização'!A5,D26*'Tabela de Valores 2026'!C129*'% Legalização'!C4,IF(D26&lt;'% Legalização'!A6,D26*'Tabela de Valores 2026'!C129*'% Legalização'!C5,D26*'Tabela de Valores 2026'!C129*'% Legalização'!C6))))))</f>
        <v>0</v>
      </c>
      <c r="E27" s="154" t="str">
        <f>IF(AND(E28=TRUE,D26&gt;='% Legalização'!A3),"(Conforme Art.4º da Lei nº 12.927/23)"," ")</f>
        <v xml:space="preserve"> </v>
      </c>
      <c r="F27" s="155"/>
      <c r="G27" s="15"/>
      <c r="H27" s="15"/>
      <c r="I27" s="15"/>
      <c r="J27" s="15"/>
      <c r="K27" s="15"/>
      <c r="L27" s="15"/>
    </row>
    <row r="28" spans="1:1024" hidden="1">
      <c r="D28" s="15"/>
      <c r="E28" s="28" t="b">
        <f>AND(E7&lt;&gt;0,D26&gt;='% Legalização'!A3)</f>
        <v>0</v>
      </c>
    </row>
    <row r="29" spans="1:1024" s="28" customFormat="1">
      <c r="D29" s="15"/>
    </row>
    <row r="30" spans="1:1024">
      <c r="A30" s="157" t="s">
        <v>102</v>
      </c>
      <c r="B30" s="157"/>
      <c r="C30" s="157"/>
      <c r="D30" s="133">
        <f>D23+D27+Comercial!D23+Comercial!D27+Industrial!D23+Industrial!D27+Demolição!D19+Demolição!D23+'Diversos Res.'!D23+'Diversos Res.'!D27+'Diversos Com. Ind.'!D23+'Diversos Com. Ind.'!D27</f>
        <v>0</v>
      </c>
    </row>
    <row r="31" spans="1:1024" s="28" customFormat="1"/>
    <row r="32" spans="1:1024">
      <c r="A32" s="156" t="s">
        <v>11</v>
      </c>
      <c r="B32" s="156"/>
      <c r="C32" s="156"/>
      <c r="D32" s="156"/>
      <c r="E32" s="156"/>
      <c r="F32" s="156"/>
      <c r="G32" s="156"/>
    </row>
    <row r="33" spans="1:7">
      <c r="A33" s="156" t="s">
        <v>12</v>
      </c>
      <c r="B33" s="156"/>
      <c r="C33" s="156"/>
      <c r="D33" s="156"/>
      <c r="E33" s="156"/>
      <c r="F33" s="156"/>
      <c r="G33" s="156"/>
    </row>
    <row r="34" spans="1:7" s="28" customFormat="1">
      <c r="A34" s="134"/>
      <c r="B34" s="134"/>
      <c r="C34" s="134"/>
      <c r="D34" s="134"/>
      <c r="E34" s="134"/>
      <c r="F34" s="134"/>
      <c r="G34" s="134"/>
    </row>
    <row r="35" spans="1:7">
      <c r="A35" s="136" t="s">
        <v>107</v>
      </c>
    </row>
    <row r="36" spans="1:7">
      <c r="A36" s="136" t="s">
        <v>105</v>
      </c>
    </row>
    <row r="37" spans="1:7" s="28" customFormat="1">
      <c r="A37" s="137" t="s">
        <v>106</v>
      </c>
    </row>
    <row r="38" spans="1:7">
      <c r="A38" s="138" t="s">
        <v>104</v>
      </c>
    </row>
  </sheetData>
  <sheetProtection password="81F1" sheet="1" objects="1" scenarios="1" selectLockedCells="1"/>
  <mergeCells count="22">
    <mergeCell ref="A26:C26"/>
    <mergeCell ref="A27:C27"/>
    <mergeCell ref="E27:F27"/>
    <mergeCell ref="A32:G32"/>
    <mergeCell ref="A33:G33"/>
    <mergeCell ref="A30:C30"/>
    <mergeCell ref="A23:C23"/>
    <mergeCell ref="E23:F23"/>
    <mergeCell ref="E22:F22"/>
    <mergeCell ref="B19:C19"/>
    <mergeCell ref="B20:C20"/>
    <mergeCell ref="B21:C21"/>
    <mergeCell ref="B22:C22"/>
    <mergeCell ref="E21:F21"/>
    <mergeCell ref="A1:G1"/>
    <mergeCell ref="D5:F5"/>
    <mergeCell ref="D6:D7"/>
    <mergeCell ref="B10:D10"/>
    <mergeCell ref="E20:F20"/>
    <mergeCell ref="B18:D18"/>
    <mergeCell ref="B12:D12"/>
    <mergeCell ref="E19:F19"/>
  </mergeCells>
  <pageMargins left="0.78749999999999998" right="0.78749999999999998" top="1.0249999999999999" bottom="1.0249999999999999" header="0.78749999999999998" footer="0.78749999999999998"/>
  <pageSetup paperSize="9" scale="65" orientation="portrait" useFirstPageNumber="1" horizontalDpi="300" verticalDpi="300" r:id="rId1"/>
  <headerFooter>
    <oddHeader>&amp;C&amp;A</oddHeader>
    <oddFooter>&amp;CPágina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J38"/>
  <sheetViews>
    <sheetView showGridLines="0" zoomScaleNormal="100" workbookViewId="0">
      <selection activeCell="E7" sqref="E7"/>
    </sheetView>
  </sheetViews>
  <sheetFormatPr defaultColWidth="11.5703125" defaultRowHeight="12.75"/>
  <cols>
    <col min="1" max="1" width="19.85546875" style="1" customWidth="1"/>
    <col min="2" max="3" width="14" style="1" customWidth="1"/>
    <col min="4" max="4" width="20" style="1" bestFit="1" customWidth="1"/>
    <col min="5" max="5" width="14.5703125" style="1" customWidth="1"/>
    <col min="6" max="6" width="13.7109375" style="1" customWidth="1"/>
    <col min="7" max="7" width="9.5703125" style="1" customWidth="1"/>
    <col min="8" max="11" width="0" style="1" hidden="1" customWidth="1"/>
    <col min="12" max="16384" width="11.5703125" style="1"/>
  </cols>
  <sheetData>
    <row r="1" spans="1:1024" ht="15.75">
      <c r="A1" s="139" t="s">
        <v>79</v>
      </c>
      <c r="B1" s="139"/>
      <c r="C1" s="139"/>
      <c r="D1" s="139"/>
      <c r="E1" s="139"/>
      <c r="F1" s="139"/>
      <c r="G1" s="139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</row>
    <row r="2" spans="1:1024">
      <c r="A2" s="4"/>
      <c r="B2" s="5"/>
      <c r="C2" s="5"/>
      <c r="D2" s="5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</row>
    <row r="3" spans="1:1024">
      <c r="A3" s="4"/>
      <c r="D3"/>
      <c r="E3"/>
      <c r="F3" s="29" t="s">
        <v>13</v>
      </c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</row>
    <row r="4" spans="1:1024">
      <c r="A4" s="4"/>
      <c r="D4"/>
      <c r="E4"/>
      <c r="H4" s="2"/>
      <c r="I4" s="3"/>
      <c r="J4" s="3"/>
      <c r="K4" s="3"/>
      <c r="L4" s="3"/>
      <c r="M4" s="3"/>
      <c r="N4" s="3"/>
      <c r="O4" s="3"/>
      <c r="P4" s="3"/>
      <c r="Q4"/>
      <c r="R4"/>
      <c r="S4"/>
      <c r="T4"/>
      <c r="U4"/>
      <c r="V4"/>
      <c r="W4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</row>
    <row r="5" spans="1:1024">
      <c r="A5" s="4"/>
      <c r="D5" s="140" t="s">
        <v>1</v>
      </c>
      <c r="E5" s="140"/>
      <c r="F5" s="140"/>
      <c r="H5" s="2"/>
      <c r="I5" s="3"/>
      <c r="J5" s="3"/>
      <c r="K5" s="3"/>
      <c r="L5" s="3"/>
      <c r="M5" s="3"/>
      <c r="N5" s="3"/>
      <c r="O5" s="3"/>
      <c r="P5" s="3"/>
      <c r="Q5"/>
      <c r="R5"/>
      <c r="S5"/>
      <c r="T5"/>
      <c r="U5"/>
      <c r="V5"/>
      <c r="W5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</row>
    <row r="6" spans="1:1024" ht="12.75" customHeight="1">
      <c r="A6" s="4"/>
      <c r="B6" s="5"/>
      <c r="C6" s="5"/>
      <c r="D6" s="141" t="s">
        <v>2</v>
      </c>
      <c r="E6" s="7" t="s">
        <v>3</v>
      </c>
      <c r="F6" s="7" t="s">
        <v>4</v>
      </c>
      <c r="G6" s="2"/>
      <c r="H6" s="2"/>
      <c r="I6" s="3"/>
      <c r="J6" s="3"/>
      <c r="K6" s="3"/>
      <c r="L6" s="3"/>
      <c r="M6" s="3"/>
      <c r="N6" s="3"/>
      <c r="O6" s="3"/>
      <c r="P6" s="3"/>
      <c r="Q6"/>
      <c r="R6"/>
      <c r="S6"/>
      <c r="T6"/>
      <c r="U6"/>
      <c r="V6"/>
      <c r="W6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</row>
    <row r="7" spans="1:1024">
      <c r="A7" s="3"/>
      <c r="B7" s="8"/>
      <c r="C7" s="2"/>
      <c r="D7" s="142"/>
      <c r="E7" s="30"/>
      <c r="F7" s="30"/>
      <c r="G7" s="2"/>
      <c r="H7" s="2"/>
      <c r="I7" s="3"/>
      <c r="Q7"/>
      <c r="R7"/>
      <c r="S7"/>
      <c r="T7"/>
      <c r="U7"/>
      <c r="V7"/>
      <c r="W7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</row>
    <row r="8" spans="1:1024">
      <c r="E8" s="28"/>
      <c r="Q8"/>
      <c r="R8"/>
      <c r="S8"/>
      <c r="T8"/>
      <c r="U8"/>
      <c r="V8"/>
      <c r="W8"/>
    </row>
    <row r="9" spans="1:1024">
      <c r="Q9"/>
      <c r="R9"/>
      <c r="S9"/>
      <c r="T9"/>
      <c r="U9"/>
      <c r="V9"/>
      <c r="W9"/>
    </row>
    <row r="10" spans="1:1024">
      <c r="A10"/>
      <c r="B10" s="143" t="s">
        <v>95</v>
      </c>
      <c r="C10" s="143"/>
      <c r="D10" s="143"/>
      <c r="E10" s="10"/>
      <c r="F10" s="11" t="s">
        <v>5</v>
      </c>
      <c r="G10"/>
      <c r="Q10"/>
      <c r="R10"/>
      <c r="S10"/>
      <c r="T10"/>
      <c r="U10"/>
      <c r="V10"/>
      <c r="W10"/>
    </row>
    <row r="11" spans="1:1024">
      <c r="A11" s="121"/>
      <c r="B11" s="121"/>
      <c r="C11" s="121"/>
      <c r="D11" s="122" t="s">
        <v>92</v>
      </c>
      <c r="E11" s="119"/>
      <c r="F11" s="11"/>
      <c r="G11" s="13"/>
      <c r="Q11"/>
      <c r="R11"/>
      <c r="S11"/>
      <c r="T11"/>
      <c r="U11"/>
      <c r="V11"/>
      <c r="W11"/>
    </row>
    <row r="12" spans="1:1024" hidden="1">
      <c r="A12" s="120" t="s">
        <v>94</v>
      </c>
      <c r="B12" s="148" t="s">
        <v>6</v>
      </c>
      <c r="C12" s="148"/>
      <c r="D12" s="148"/>
      <c r="E12" s="10"/>
      <c r="F12" s="11" t="s">
        <v>7</v>
      </c>
      <c r="G12"/>
      <c r="Q12"/>
      <c r="R12"/>
      <c r="S12"/>
      <c r="T12"/>
      <c r="U12"/>
      <c r="V12"/>
      <c r="W12"/>
    </row>
    <row r="13" spans="1:1024">
      <c r="A13" s="97"/>
      <c r="C13" s="14"/>
      <c r="D13" s="15"/>
      <c r="E13"/>
      <c r="F13"/>
      <c r="G13"/>
      <c r="Q13"/>
      <c r="R13"/>
      <c r="S13"/>
      <c r="T13"/>
      <c r="U13"/>
      <c r="V13"/>
      <c r="W13"/>
    </row>
    <row r="14" spans="1:1024">
      <c r="A14" s="28"/>
      <c r="F14"/>
      <c r="G14"/>
      <c r="J14"/>
      <c r="K14"/>
      <c r="L14"/>
      <c r="M14"/>
    </row>
    <row r="15" spans="1:1024" s="28" customFormat="1" hidden="1">
      <c r="A15" s="120" t="s">
        <v>94</v>
      </c>
      <c r="D15" s="17">
        <f>E10*'Tabela de Valores 2026'!D13</f>
        <v>0</v>
      </c>
      <c r="F15"/>
      <c r="G15"/>
      <c r="J15"/>
      <c r="K15"/>
      <c r="L15"/>
      <c r="M15"/>
    </row>
    <row r="16" spans="1:1024" s="28" customFormat="1" hidden="1">
      <c r="A16" s="120" t="s">
        <v>94</v>
      </c>
      <c r="D16" s="17">
        <f>E10*'Tabela de Valores 2026'!E14</f>
        <v>0</v>
      </c>
      <c r="F16"/>
      <c r="G16"/>
      <c r="J16"/>
      <c r="K16"/>
      <c r="L16"/>
      <c r="M16"/>
    </row>
    <row r="17" spans="1:14" s="28" customFormat="1" hidden="1">
      <c r="A17" s="120" t="s">
        <v>94</v>
      </c>
      <c r="D17" s="17">
        <f>E11*'Tabela de Valores 2026'!D37</f>
        <v>0</v>
      </c>
      <c r="F17"/>
      <c r="G17"/>
      <c r="J17"/>
      <c r="K17"/>
      <c r="L17"/>
      <c r="M17"/>
    </row>
    <row r="18" spans="1:14">
      <c r="B18" s="145" t="s">
        <v>8</v>
      </c>
      <c r="C18" s="146"/>
      <c r="D18" s="147"/>
      <c r="F18"/>
      <c r="G18"/>
      <c r="J18"/>
      <c r="K18"/>
      <c r="L18"/>
      <c r="M18"/>
    </row>
    <row r="19" spans="1:14">
      <c r="B19" s="152" t="s">
        <v>90</v>
      </c>
      <c r="C19" s="152"/>
      <c r="D19" s="18">
        <f>IF(D15=44.57,0,IF(E7=0,D15,D15*'% Legalização'!C23))</f>
        <v>0</v>
      </c>
      <c r="E19" s="144" t="str">
        <f>IF(AND(E7&lt;&gt;0,D19&lt;&gt;0),"(Conforme Art.4º da Lei nº 12.927/23)"," ")</f>
        <v xml:space="preserve"> </v>
      </c>
      <c r="F19" s="144"/>
      <c r="G19"/>
      <c r="H19" s="15"/>
      <c r="N19"/>
    </row>
    <row r="20" spans="1:14" s="28" customFormat="1">
      <c r="B20" s="152" t="s">
        <v>93</v>
      </c>
      <c r="C20" s="152"/>
      <c r="D20" s="18">
        <f>IF(D16=44.57,0,IF(E7=0,D16,D16*'% Legalização'!C24))</f>
        <v>0</v>
      </c>
      <c r="E20" s="144" t="str">
        <f>IF(AND(E7&lt;&gt;0,D20&lt;&gt;0),"(Conforme Art.4º da Lei nº 12.927/23)"," ")</f>
        <v xml:space="preserve"> </v>
      </c>
      <c r="F20" s="144"/>
      <c r="G20"/>
      <c r="H20" s="15"/>
      <c r="N20"/>
    </row>
    <row r="21" spans="1:14" s="28" customFormat="1">
      <c r="B21" s="152" t="s">
        <v>91</v>
      </c>
      <c r="C21" s="152"/>
      <c r="D21" s="18">
        <f>IF(D17=44.57,0,IF(E7=0,D17,D17*'% Legalização'!C25))</f>
        <v>0</v>
      </c>
      <c r="E21" s="144" t="str">
        <f>IF(AND(E7&lt;&gt;0,D21&lt;&gt;0),"(Conforme Art.4º da Lei nº 12.927/23)"," ")</f>
        <v xml:space="preserve"> </v>
      </c>
      <c r="F21" s="144"/>
      <c r="G21"/>
      <c r="H21" s="15"/>
      <c r="N21"/>
    </row>
    <row r="22" spans="1:14">
      <c r="B22" s="152" t="s">
        <v>9</v>
      </c>
      <c r="C22" s="152"/>
      <c r="D22" s="18">
        <f>IF(E10&gt;=500,'Tabela de Valores 2026'!F26,E10*'Tabela de Valores 2026'!F26)</f>
        <v>0</v>
      </c>
      <c r="E22" s="144" t="str">
        <f>IF(D22="Ação Fiscal Obrigatória","(Conforme Decreto 27.034/2022)"," ")</f>
        <v xml:space="preserve"> </v>
      </c>
      <c r="F22" s="144"/>
      <c r="G22"/>
      <c r="J22" s="19"/>
      <c r="K22" s="19"/>
      <c r="L22" s="19"/>
      <c r="M22" s="19"/>
    </row>
    <row r="23" spans="1:14">
      <c r="A23" s="150" t="s">
        <v>10</v>
      </c>
      <c r="B23" s="150"/>
      <c r="C23" s="150"/>
      <c r="D23" s="20">
        <f>SUM(D19:D22)</f>
        <v>0</v>
      </c>
      <c r="E23" s="151" t="str">
        <f>IF(D22="Ação Fiscal Obrigatória","+ Apuração da Auditoria Fiscal"," ")</f>
        <v xml:space="preserve"> </v>
      </c>
      <c r="F23" s="151"/>
      <c r="J23" s="22"/>
      <c r="K23" s="22"/>
      <c r="L23" s="22"/>
      <c r="M23" s="22"/>
    </row>
    <row r="24" spans="1:14">
      <c r="A24" s="23"/>
      <c r="B24" s="24"/>
      <c r="C24" s="25"/>
      <c r="D24" s="26"/>
      <c r="E24" s="27"/>
      <c r="J24" s="22"/>
      <c r="K24" s="22"/>
      <c r="L24" s="22"/>
      <c r="M24" s="22"/>
    </row>
    <row r="25" spans="1:14">
      <c r="A25" s="23"/>
      <c r="B25" s="24"/>
      <c r="C25" s="25"/>
      <c r="D25" s="26"/>
      <c r="E25" s="27"/>
      <c r="J25" s="22"/>
      <c r="K25" s="22"/>
      <c r="L25" s="22"/>
      <c r="M25" s="22"/>
    </row>
    <row r="26" spans="1:14">
      <c r="A26" s="152" t="s">
        <v>98</v>
      </c>
      <c r="B26" s="152"/>
      <c r="C26" s="152"/>
      <c r="D26" s="10"/>
      <c r="E26" s="11" t="s">
        <v>5</v>
      </c>
      <c r="J26" s="22"/>
      <c r="K26" s="22"/>
      <c r="L26" s="22"/>
      <c r="M26" s="22"/>
    </row>
    <row r="27" spans="1:14">
      <c r="A27" s="153" t="s">
        <v>97</v>
      </c>
      <c r="B27" s="153"/>
      <c r="C27" s="153"/>
      <c r="D27" s="132">
        <f>IF(D26=0,0,IF(E7=0,D26*'Tabela de Valores 2026'!C129,D26*'Tabela de Valores 2026'!C129*2))</f>
        <v>0</v>
      </c>
      <c r="E27" s="144" t="str">
        <f>IF(AND(E28=TRUE,D26&lt;&gt;0),"(Conforme Art.4º da Lei nº 12.927/23)"," ")</f>
        <v xml:space="preserve"> </v>
      </c>
      <c r="F27" s="144"/>
      <c r="H27" s="15"/>
      <c r="I27" s="15"/>
    </row>
    <row r="28" spans="1:14" hidden="1">
      <c r="E28" s="28" t="b">
        <f>AND(E7&lt;&gt;0,D26&lt;&gt;0)</f>
        <v>0</v>
      </c>
    </row>
    <row r="29" spans="1:14">
      <c r="D29" s="15"/>
    </row>
    <row r="30" spans="1:14" s="28" customFormat="1">
      <c r="A30" s="157" t="s">
        <v>102</v>
      </c>
      <c r="B30" s="157"/>
      <c r="C30" s="157"/>
      <c r="D30" s="133">
        <f>D23+D27+Residencial!D23+Residencial!D27+Industrial!D23+Industrial!D27+Demolição!D19+Demolição!D23+'Diversos Res.'!D23+'Diversos Res.'!D27+'Diversos Com. Ind.'!D23+'Diversos Com. Ind.'!D27</f>
        <v>0</v>
      </c>
    </row>
    <row r="31" spans="1:14" s="28" customFormat="1">
      <c r="D31" s="15"/>
    </row>
    <row r="32" spans="1:14">
      <c r="A32" s="156" t="s">
        <v>11</v>
      </c>
      <c r="B32" s="156"/>
      <c r="C32" s="156"/>
      <c r="D32" s="156"/>
      <c r="E32" s="156"/>
      <c r="F32" s="156"/>
      <c r="G32" s="156"/>
    </row>
    <row r="33" spans="1:7">
      <c r="A33" s="156" t="s">
        <v>12</v>
      </c>
      <c r="B33" s="156"/>
      <c r="C33" s="156"/>
      <c r="D33" s="156"/>
      <c r="E33" s="156"/>
      <c r="F33" s="156"/>
      <c r="G33" s="156"/>
    </row>
    <row r="34" spans="1:7">
      <c r="A34" s="134"/>
    </row>
    <row r="35" spans="1:7">
      <c r="A35" s="136" t="s">
        <v>107</v>
      </c>
      <c r="D35"/>
    </row>
    <row r="36" spans="1:7">
      <c r="A36" s="136" t="s">
        <v>105</v>
      </c>
    </row>
    <row r="37" spans="1:7">
      <c r="A37" s="137" t="s">
        <v>106</v>
      </c>
    </row>
    <row r="38" spans="1:7">
      <c r="A38" s="138" t="s">
        <v>104</v>
      </c>
    </row>
  </sheetData>
  <sheetProtection password="81F1" sheet="1" objects="1" scenarios="1" selectLockedCells="1"/>
  <mergeCells count="22">
    <mergeCell ref="A30:C30"/>
    <mergeCell ref="A33:G33"/>
    <mergeCell ref="B18:D18"/>
    <mergeCell ref="A26:C26"/>
    <mergeCell ref="A27:C27"/>
    <mergeCell ref="E27:F27"/>
    <mergeCell ref="A32:G32"/>
    <mergeCell ref="E19:F19"/>
    <mergeCell ref="A23:C23"/>
    <mergeCell ref="E23:F23"/>
    <mergeCell ref="E22:F22"/>
    <mergeCell ref="B19:C19"/>
    <mergeCell ref="B20:C20"/>
    <mergeCell ref="B21:C21"/>
    <mergeCell ref="B22:C22"/>
    <mergeCell ref="E20:F20"/>
    <mergeCell ref="E21:F21"/>
    <mergeCell ref="A1:G1"/>
    <mergeCell ref="D5:F5"/>
    <mergeCell ref="D6:D7"/>
    <mergeCell ref="B10:D10"/>
    <mergeCell ref="B12:D12"/>
  </mergeCells>
  <pageMargins left="0.78749999999999998" right="0.78749999999999998" top="1.0249999999999999" bottom="1.0249999999999999" header="0.78749999999999998" footer="0.78749999999999998"/>
  <pageSetup paperSize="9" scale="65" orientation="portrait" horizontalDpi="300" verticalDpi="300"/>
  <headerFooter>
    <oddHeader>&amp;C&amp;A</oddHeader>
    <oddFooter>&amp;CPágina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J38"/>
  <sheetViews>
    <sheetView showGridLines="0" zoomScaleNormal="100" workbookViewId="0">
      <selection activeCell="E7" sqref="E7"/>
    </sheetView>
  </sheetViews>
  <sheetFormatPr defaultColWidth="11.5703125" defaultRowHeight="12.75"/>
  <cols>
    <col min="1" max="1" width="19.85546875" style="1" customWidth="1"/>
    <col min="2" max="3" width="14" style="1" customWidth="1"/>
    <col min="4" max="4" width="20" style="1" bestFit="1" customWidth="1"/>
    <col min="5" max="5" width="14.5703125" style="1" customWidth="1"/>
    <col min="6" max="6" width="13.7109375" style="1" customWidth="1"/>
    <col min="7" max="7" width="9.5703125" style="1" customWidth="1"/>
    <col min="8" max="11" width="0" style="1" hidden="1" customWidth="1"/>
    <col min="12" max="16384" width="11.5703125" style="1"/>
  </cols>
  <sheetData>
    <row r="1" spans="1:1024" ht="15.75">
      <c r="A1" s="139" t="s">
        <v>79</v>
      </c>
      <c r="B1" s="139"/>
      <c r="C1" s="139"/>
      <c r="D1" s="139"/>
      <c r="E1" s="139"/>
      <c r="F1" s="139"/>
      <c r="G1" s="139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</row>
    <row r="2" spans="1:1024">
      <c r="A2" s="4"/>
      <c r="B2" s="5"/>
      <c r="C2" s="5"/>
      <c r="D2" s="5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</row>
    <row r="3" spans="1:1024">
      <c r="A3" s="4"/>
      <c r="D3"/>
      <c r="E3"/>
      <c r="F3" s="31" t="s">
        <v>14</v>
      </c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</row>
    <row r="4" spans="1:1024">
      <c r="A4" s="4"/>
      <c r="D4"/>
      <c r="E4"/>
      <c r="H4" s="2"/>
      <c r="I4" s="3"/>
      <c r="J4" s="3"/>
      <c r="K4" s="3"/>
      <c r="L4" s="3"/>
      <c r="M4" s="3"/>
      <c r="N4" s="3"/>
      <c r="O4" s="3"/>
      <c r="P4" s="3"/>
      <c r="Q4"/>
      <c r="R4"/>
      <c r="S4"/>
      <c r="T4"/>
      <c r="U4"/>
      <c r="V4"/>
      <c r="W4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</row>
    <row r="5" spans="1:1024">
      <c r="A5" s="4"/>
      <c r="D5" s="140" t="s">
        <v>1</v>
      </c>
      <c r="E5" s="140"/>
      <c r="F5" s="140"/>
      <c r="H5" s="2"/>
      <c r="I5" s="3"/>
      <c r="J5" s="3"/>
      <c r="K5" s="3"/>
      <c r="L5" s="3"/>
      <c r="M5" s="3"/>
      <c r="N5" s="3"/>
      <c r="O5" s="3"/>
      <c r="P5" s="3"/>
      <c r="Q5"/>
      <c r="R5"/>
      <c r="S5"/>
      <c r="T5"/>
      <c r="U5"/>
      <c r="V5"/>
      <c r="W5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</row>
    <row r="6" spans="1:1024" ht="12.75" customHeight="1">
      <c r="A6" s="4"/>
      <c r="B6" s="5"/>
      <c r="C6" s="5"/>
      <c r="D6" s="141" t="s">
        <v>2</v>
      </c>
      <c r="E6" s="7" t="s">
        <v>3</v>
      </c>
      <c r="F6" s="7" t="s">
        <v>4</v>
      </c>
      <c r="G6" s="2"/>
      <c r="H6" s="2"/>
      <c r="I6" s="3"/>
      <c r="J6" s="3"/>
      <c r="K6" s="3"/>
      <c r="L6" s="3"/>
      <c r="M6" s="3"/>
      <c r="N6" s="3"/>
      <c r="O6" s="3"/>
      <c r="P6" s="3"/>
      <c r="Q6"/>
      <c r="R6"/>
      <c r="S6"/>
      <c r="T6"/>
      <c r="U6"/>
      <c r="V6"/>
      <c r="W6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</row>
    <row r="7" spans="1:1024">
      <c r="A7" s="3"/>
      <c r="B7" s="8"/>
      <c r="C7" s="2"/>
      <c r="D7" s="142"/>
      <c r="E7" s="30"/>
      <c r="F7" s="30"/>
      <c r="G7" s="2"/>
      <c r="H7" s="2"/>
      <c r="I7" s="3"/>
      <c r="Q7"/>
      <c r="R7"/>
      <c r="S7"/>
      <c r="T7"/>
      <c r="U7"/>
      <c r="V7"/>
      <c r="W7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</row>
    <row r="8" spans="1:1024">
      <c r="Q8"/>
      <c r="R8"/>
      <c r="S8"/>
      <c r="T8"/>
      <c r="U8"/>
      <c r="V8"/>
      <c r="W8"/>
    </row>
    <row r="9" spans="1:1024">
      <c r="Q9"/>
      <c r="R9"/>
      <c r="S9"/>
      <c r="T9"/>
      <c r="U9"/>
      <c r="V9"/>
      <c r="W9"/>
    </row>
    <row r="10" spans="1:1024">
      <c r="A10"/>
      <c r="B10" s="143" t="s">
        <v>95</v>
      </c>
      <c r="C10" s="143"/>
      <c r="D10" s="143"/>
      <c r="E10" s="10"/>
      <c r="F10" s="11" t="s">
        <v>5</v>
      </c>
      <c r="G10"/>
      <c r="Q10"/>
      <c r="R10"/>
      <c r="S10"/>
      <c r="T10"/>
      <c r="U10"/>
      <c r="V10"/>
      <c r="W10"/>
    </row>
    <row r="11" spans="1:1024">
      <c r="A11" s="121"/>
      <c r="B11" s="121"/>
      <c r="C11" s="121"/>
      <c r="D11" s="122" t="s">
        <v>92</v>
      </c>
      <c r="E11" s="119"/>
      <c r="F11" s="11"/>
      <c r="G11" s="13"/>
      <c r="Q11"/>
      <c r="R11"/>
      <c r="S11"/>
      <c r="T11"/>
      <c r="U11"/>
      <c r="V11"/>
      <c r="W11"/>
    </row>
    <row r="12" spans="1:1024" hidden="1">
      <c r="A12" s="120" t="s">
        <v>94</v>
      </c>
      <c r="B12" s="148" t="s">
        <v>6</v>
      </c>
      <c r="C12" s="148"/>
      <c r="D12" s="148"/>
      <c r="E12" s="10"/>
      <c r="F12" s="11" t="s">
        <v>7</v>
      </c>
      <c r="G12"/>
      <c r="Q12"/>
      <c r="R12"/>
      <c r="S12"/>
      <c r="T12"/>
      <c r="U12"/>
      <c r="V12"/>
      <c r="W12"/>
    </row>
    <row r="13" spans="1:1024">
      <c r="A13" s="97"/>
      <c r="B13" s="28"/>
      <c r="C13" s="14"/>
      <c r="D13" s="15"/>
      <c r="E13" s="15"/>
      <c r="F13"/>
      <c r="G13"/>
      <c r="Q13"/>
      <c r="R13"/>
      <c r="S13"/>
      <c r="T13"/>
      <c r="U13"/>
      <c r="V13"/>
      <c r="W13"/>
    </row>
    <row r="14" spans="1:1024">
      <c r="A14" s="28"/>
      <c r="B14" s="28"/>
      <c r="C14" s="28"/>
      <c r="D14" s="28"/>
      <c r="E14"/>
      <c r="F14"/>
      <c r="G14"/>
      <c r="J14"/>
      <c r="K14"/>
      <c r="L14"/>
      <c r="M14"/>
    </row>
    <row r="15" spans="1:1024" s="28" customFormat="1" hidden="1">
      <c r="A15" s="120" t="s">
        <v>94</v>
      </c>
      <c r="D15" s="17">
        <f>E10*'Tabela de Valores 2026'!D13</f>
        <v>0</v>
      </c>
      <c r="E15"/>
      <c r="F15"/>
      <c r="G15"/>
      <c r="J15"/>
      <c r="K15"/>
      <c r="L15"/>
      <c r="M15"/>
    </row>
    <row r="16" spans="1:1024" s="28" customFormat="1" hidden="1">
      <c r="A16" s="120" t="s">
        <v>94</v>
      </c>
      <c r="D16" s="17">
        <f>E10*'Tabela de Valores 2026'!E14</f>
        <v>0</v>
      </c>
      <c r="E16"/>
      <c r="F16"/>
      <c r="G16"/>
      <c r="J16"/>
      <c r="K16"/>
      <c r="L16"/>
      <c r="M16"/>
    </row>
    <row r="17" spans="1:14" hidden="1">
      <c r="A17" s="120" t="s">
        <v>94</v>
      </c>
      <c r="B17" s="28"/>
      <c r="C17" s="28"/>
      <c r="D17" s="17">
        <f>E11*'Tabela de Valores 2026'!D37</f>
        <v>0</v>
      </c>
      <c r="F17"/>
      <c r="G17"/>
      <c r="J17"/>
      <c r="K17"/>
      <c r="L17"/>
      <c r="M17"/>
    </row>
    <row r="18" spans="1:14">
      <c r="B18" s="145" t="s">
        <v>8</v>
      </c>
      <c r="C18" s="146"/>
      <c r="D18" s="147"/>
      <c r="E18"/>
      <c r="F18"/>
      <c r="G18"/>
      <c r="J18"/>
      <c r="K18"/>
      <c r="L18"/>
      <c r="M18"/>
    </row>
    <row r="19" spans="1:14">
      <c r="B19" s="152" t="s">
        <v>90</v>
      </c>
      <c r="C19" s="152"/>
      <c r="D19" s="18">
        <f>IF(D15=44.57,0,IF(E7=0,D15,D15*'% Legalização'!C23))</f>
        <v>0</v>
      </c>
      <c r="E19" s="144" t="str">
        <f>IF(AND(E7&lt;&gt;0,D19&lt;&gt;0),"(Conforme Art.4º da Lei nº 12.927/23)"," ")</f>
        <v xml:space="preserve"> </v>
      </c>
      <c r="F19" s="144"/>
      <c r="G19"/>
      <c r="H19" s="15"/>
      <c r="N19"/>
    </row>
    <row r="20" spans="1:14" s="28" customFormat="1">
      <c r="B20" s="152" t="s">
        <v>93</v>
      </c>
      <c r="C20" s="152"/>
      <c r="D20" s="18">
        <f>IF(D16=44.57,0,IF(E7=0,D16,D16*'% Legalização'!C24))</f>
        <v>0</v>
      </c>
      <c r="E20" s="144" t="str">
        <f>IF(AND(E7&lt;&gt;0,D20&lt;&gt;0),"(Conforme Art.4º da Lei nº 12.927/23)"," ")</f>
        <v xml:space="preserve"> </v>
      </c>
      <c r="F20" s="144"/>
      <c r="G20"/>
      <c r="H20" s="15"/>
      <c r="N20"/>
    </row>
    <row r="21" spans="1:14" s="28" customFormat="1">
      <c r="B21" s="152" t="s">
        <v>91</v>
      </c>
      <c r="C21" s="152"/>
      <c r="D21" s="18">
        <f>IF(D17=44.57,0,IF(E7=0,D17,D17*'% Legalização'!C25))</f>
        <v>0</v>
      </c>
      <c r="E21" s="144" t="str">
        <f>IF(AND(E7&lt;&gt;0,D21&lt;&gt;0),"(Conforme Art.4º da Lei nº 12.927/23)"," ")</f>
        <v xml:space="preserve"> </v>
      </c>
      <c r="F21" s="144"/>
      <c r="G21"/>
      <c r="H21" s="15"/>
      <c r="N21"/>
    </row>
    <row r="22" spans="1:14">
      <c r="B22" s="152" t="s">
        <v>9</v>
      </c>
      <c r="C22" s="152"/>
      <c r="D22" s="18">
        <f>IF(E10&gt;=500,'Tabela de Valores 2026'!F34,E10*'Tabela de Valores 2026'!F34)</f>
        <v>0</v>
      </c>
      <c r="E22" s="144" t="str">
        <f>IF(D22="Ação Fiscal Obrigatória","(Conforme Decreto 27.034/2022)"," ")</f>
        <v xml:space="preserve"> </v>
      </c>
      <c r="F22" s="144"/>
      <c r="G22"/>
      <c r="J22" s="19"/>
      <c r="K22" s="19"/>
      <c r="L22" s="19"/>
      <c r="M22" s="19"/>
    </row>
    <row r="23" spans="1:14">
      <c r="A23" s="150" t="s">
        <v>10</v>
      </c>
      <c r="B23" s="150"/>
      <c r="C23" s="150"/>
      <c r="D23" s="20">
        <f>SUM(D19:D22)</f>
        <v>0</v>
      </c>
      <c r="E23" s="151" t="str">
        <f>IF(D22="Ação Fiscal Obrigatória","+ Apuração da Auditoria Fiscal"," ")</f>
        <v xml:space="preserve"> </v>
      </c>
      <c r="F23" s="151"/>
      <c r="J23" s="22"/>
      <c r="K23" s="22"/>
      <c r="L23" s="22"/>
      <c r="M23" s="22"/>
    </row>
    <row r="24" spans="1:14">
      <c r="A24" s="23"/>
      <c r="B24" s="24"/>
      <c r="C24" s="25"/>
      <c r="D24" s="26"/>
      <c r="E24" s="27"/>
      <c r="J24" s="22"/>
      <c r="K24" s="22"/>
      <c r="L24" s="22"/>
      <c r="M24" s="22"/>
    </row>
    <row r="25" spans="1:14">
      <c r="A25" s="23"/>
      <c r="B25" s="24"/>
      <c r="C25" s="25"/>
      <c r="D25" s="26"/>
      <c r="E25" s="27"/>
      <c r="J25" s="22"/>
      <c r="K25" s="22"/>
      <c r="L25" s="22"/>
      <c r="M25" s="22"/>
    </row>
    <row r="26" spans="1:14">
      <c r="A26" s="152" t="s">
        <v>98</v>
      </c>
      <c r="B26" s="152"/>
      <c r="C26" s="152"/>
      <c r="D26" s="10"/>
      <c r="E26" s="11" t="s">
        <v>5</v>
      </c>
      <c r="J26" s="22"/>
      <c r="K26" s="22"/>
      <c r="L26" s="22"/>
      <c r="M26" s="22"/>
    </row>
    <row r="27" spans="1:14">
      <c r="A27" s="153" t="s">
        <v>97</v>
      </c>
      <c r="B27" s="153"/>
      <c r="C27" s="153"/>
      <c r="D27" s="132">
        <f>IF(D26=0,0,IF(E7=0,D26*'Tabela de Valores 2026'!C129,D26*'Tabela de Valores 2026'!C129*2))</f>
        <v>0</v>
      </c>
      <c r="E27" s="144" t="str">
        <f>IF(AND(E28=TRUE,D26&lt;&gt;0),"(Conforme Art.4º da Lei nº 12.927/23)"," ")</f>
        <v xml:space="preserve"> </v>
      </c>
      <c r="F27" s="144"/>
    </row>
    <row r="28" spans="1:14" hidden="1">
      <c r="E28" s="28" t="b">
        <f>AND(E7&lt;&gt;0,D26&lt;&gt;0)</f>
        <v>0</v>
      </c>
    </row>
    <row r="30" spans="1:14">
      <c r="A30" s="157" t="s">
        <v>102</v>
      </c>
      <c r="B30" s="157"/>
      <c r="C30" s="157"/>
      <c r="D30" s="133">
        <f>D23+D27+Residencial!D23+Residencial!D27+Comercial!D23+Comercial!D27+Demolição!D19+Demolição!D23+'Diversos Res.'!D23+'Diversos Res.'!D27+'Diversos Com. Ind.'!D23+'Diversos Com. Ind.'!D27</f>
        <v>0</v>
      </c>
    </row>
    <row r="31" spans="1:14" s="28" customFormat="1"/>
    <row r="32" spans="1:14">
      <c r="A32" s="156" t="s">
        <v>11</v>
      </c>
      <c r="B32" s="156"/>
      <c r="C32" s="156"/>
      <c r="D32" s="156"/>
      <c r="E32" s="156"/>
      <c r="F32" s="156"/>
      <c r="G32" s="156"/>
    </row>
    <row r="33" spans="1:7">
      <c r="A33" s="156" t="s">
        <v>12</v>
      </c>
      <c r="B33" s="156"/>
      <c r="C33" s="156"/>
      <c r="D33" s="156"/>
      <c r="E33" s="156"/>
      <c r="F33" s="156"/>
      <c r="G33" s="156"/>
    </row>
    <row r="34" spans="1:7">
      <c r="A34" s="134"/>
    </row>
    <row r="35" spans="1:7">
      <c r="A35" s="136" t="s">
        <v>107</v>
      </c>
    </row>
    <row r="36" spans="1:7">
      <c r="A36" s="136" t="s">
        <v>105</v>
      </c>
    </row>
    <row r="37" spans="1:7">
      <c r="A37" s="137" t="s">
        <v>106</v>
      </c>
    </row>
    <row r="38" spans="1:7">
      <c r="A38" s="138" t="s">
        <v>104</v>
      </c>
    </row>
  </sheetData>
  <sheetProtection password="81F1" sheet="1" objects="1" scenarios="1" selectLockedCells="1"/>
  <mergeCells count="22">
    <mergeCell ref="A30:C30"/>
    <mergeCell ref="A33:G33"/>
    <mergeCell ref="B18:D18"/>
    <mergeCell ref="A26:C26"/>
    <mergeCell ref="A27:C27"/>
    <mergeCell ref="E27:F27"/>
    <mergeCell ref="A32:G32"/>
    <mergeCell ref="E19:F19"/>
    <mergeCell ref="A23:C23"/>
    <mergeCell ref="E23:F23"/>
    <mergeCell ref="E22:F22"/>
    <mergeCell ref="B19:C19"/>
    <mergeCell ref="B20:C20"/>
    <mergeCell ref="E20:F20"/>
    <mergeCell ref="B21:C21"/>
    <mergeCell ref="E21:F21"/>
    <mergeCell ref="B22:C22"/>
    <mergeCell ref="A1:G1"/>
    <mergeCell ref="D5:F5"/>
    <mergeCell ref="D6:D7"/>
    <mergeCell ref="B10:D10"/>
    <mergeCell ref="B12:D12"/>
  </mergeCells>
  <pageMargins left="0.78749999999999998" right="0.78749999999999998" top="1.0249999999999999" bottom="1.0249999999999999" header="0.78749999999999998" footer="0.78749999999999998"/>
  <pageSetup paperSize="9" scale="65" orientation="portrait" horizontalDpi="300" verticalDpi="300"/>
  <headerFooter>
    <oddHeader>&amp;C&amp;A</oddHeader>
    <oddFooter>&amp;CPágina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XFD33"/>
  <sheetViews>
    <sheetView showGridLines="0" zoomScaleNormal="100" workbookViewId="0">
      <selection activeCell="E10" sqref="E10"/>
    </sheetView>
  </sheetViews>
  <sheetFormatPr defaultColWidth="11.5703125" defaultRowHeight="12.75"/>
  <cols>
    <col min="1" max="1" width="19.85546875" style="1" customWidth="1"/>
    <col min="2" max="3" width="14" style="1" customWidth="1"/>
    <col min="4" max="4" width="20" style="1" bestFit="1" customWidth="1"/>
    <col min="5" max="5" width="14.5703125" style="1" customWidth="1"/>
    <col min="6" max="6" width="13.7109375" style="1" customWidth="1"/>
    <col min="7" max="7" width="9.5703125" style="1" customWidth="1"/>
    <col min="8" max="16384" width="11.5703125" style="1"/>
  </cols>
  <sheetData>
    <row r="1" spans="1:16384" ht="15.75">
      <c r="A1" s="139" t="s">
        <v>79</v>
      </c>
      <c r="B1" s="139"/>
      <c r="C1" s="139"/>
      <c r="D1" s="139"/>
      <c r="E1" s="139"/>
      <c r="F1" s="139"/>
      <c r="G1" s="139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</row>
    <row r="2" spans="1:16384">
      <c r="A2" s="4"/>
      <c r="B2" s="5"/>
      <c r="C2" s="5"/>
      <c r="D2" s="5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</row>
    <row r="3" spans="1:16384">
      <c r="A3" s="4"/>
      <c r="D3"/>
      <c r="E3"/>
      <c r="F3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</row>
    <row r="4" spans="1:16384">
      <c r="A4" s="4"/>
      <c r="D4"/>
      <c r="E4"/>
      <c r="F4"/>
      <c r="H4" s="2"/>
      <c r="I4" s="3"/>
      <c r="J4" s="3"/>
      <c r="K4" s="3"/>
      <c r="L4" s="3"/>
      <c r="M4" s="3"/>
      <c r="N4" s="3"/>
      <c r="O4" s="3"/>
      <c r="P4" s="3"/>
      <c r="Q4"/>
      <c r="R4"/>
      <c r="S4"/>
      <c r="T4"/>
      <c r="U4"/>
      <c r="V4"/>
      <c r="W4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</row>
    <row r="5" spans="1:16384">
      <c r="A5" s="4"/>
      <c r="C5" s="2"/>
      <c r="D5" s="140" t="s">
        <v>15</v>
      </c>
      <c r="E5" s="140"/>
      <c r="F5" s="140"/>
      <c r="G5" s="3"/>
      <c r="H5" s="3"/>
      <c r="I5" s="3"/>
      <c r="J5"/>
      <c r="K5"/>
      <c r="L5"/>
      <c r="M5"/>
      <c r="N5"/>
      <c r="O5" s="3"/>
      <c r="P5" s="3"/>
      <c r="Q5"/>
      <c r="R5"/>
      <c r="S5"/>
      <c r="T5"/>
      <c r="U5"/>
      <c r="V5"/>
      <c r="W5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</row>
    <row r="6" spans="1:16384">
      <c r="A6" s="4"/>
      <c r="B6" s="5"/>
      <c r="C6" s="2"/>
      <c r="D6" s="6" t="s">
        <v>0</v>
      </c>
      <c r="E6" s="29" t="s">
        <v>13</v>
      </c>
      <c r="F6" s="31" t="s">
        <v>14</v>
      </c>
      <c r="G6" s="3"/>
      <c r="H6" s="3"/>
      <c r="I6" s="3"/>
      <c r="J6"/>
      <c r="K6"/>
      <c r="L6"/>
      <c r="M6"/>
      <c r="N6"/>
      <c r="O6" s="3"/>
      <c r="P6" s="3"/>
      <c r="Q6"/>
      <c r="R6"/>
      <c r="S6"/>
      <c r="T6"/>
      <c r="U6"/>
      <c r="V6"/>
      <c r="W6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</row>
    <row r="7" spans="1:16384">
      <c r="A7" s="3"/>
      <c r="B7" s="8"/>
      <c r="C7" s="2"/>
      <c r="D7"/>
      <c r="E7"/>
      <c r="F7"/>
      <c r="J7"/>
      <c r="K7"/>
      <c r="L7"/>
      <c r="M7"/>
      <c r="N7"/>
      <c r="Q7"/>
      <c r="R7"/>
      <c r="S7"/>
      <c r="T7"/>
      <c r="U7"/>
      <c r="V7"/>
      <c r="W7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</row>
    <row r="8" spans="1:16384">
      <c r="D8" s="158" t="s">
        <v>16</v>
      </c>
      <c r="E8" s="158"/>
      <c r="F8" s="158"/>
      <c r="Q8"/>
      <c r="R8"/>
      <c r="S8"/>
      <c r="T8"/>
      <c r="U8"/>
      <c r="V8"/>
      <c r="W8"/>
    </row>
    <row r="9" spans="1:16384">
      <c r="Q9"/>
      <c r="R9"/>
      <c r="S9"/>
      <c r="T9"/>
      <c r="U9"/>
      <c r="V9"/>
      <c r="W9"/>
    </row>
    <row r="10" spans="1:16384">
      <c r="A10" s="12"/>
      <c r="B10" s="143" t="s">
        <v>17</v>
      </c>
      <c r="C10" s="143"/>
      <c r="D10" s="143"/>
      <c r="E10" s="10"/>
      <c r="F10" s="11" t="s">
        <v>5</v>
      </c>
      <c r="G10"/>
      <c r="Q10"/>
      <c r="R10"/>
      <c r="S10"/>
      <c r="T10"/>
      <c r="U10"/>
      <c r="V10"/>
      <c r="W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pans="1:16384" s="28" customFormat="1">
      <c r="A11" s="84"/>
      <c r="B11" s="83"/>
      <c r="C11" s="83"/>
      <c r="D11" s="83" t="s">
        <v>92</v>
      </c>
      <c r="E11" s="119"/>
      <c r="F11" s="11"/>
      <c r="G11"/>
      <c r="Q11"/>
      <c r="R11"/>
      <c r="S11"/>
      <c r="T11"/>
      <c r="U11"/>
      <c r="V11"/>
      <c r="W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pans="1:16384">
      <c r="F12" s="22"/>
      <c r="G12"/>
      <c r="J12"/>
      <c r="K12"/>
      <c r="L12"/>
      <c r="M12"/>
    </row>
    <row r="13" spans="1:16384">
      <c r="D13" s="17"/>
      <c r="E13"/>
      <c r="F13"/>
      <c r="G13"/>
      <c r="J13"/>
      <c r="K13"/>
      <c r="L13"/>
      <c r="M13"/>
    </row>
    <row r="14" spans="1:16384">
      <c r="A14"/>
      <c r="B14" s="140" t="s">
        <v>18</v>
      </c>
      <c r="C14" s="140"/>
      <c r="D14" s="140"/>
      <c r="F14"/>
      <c r="G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6384">
      <c r="B15" s="152" t="s">
        <v>90</v>
      </c>
      <c r="C15" s="152"/>
      <c r="D15" s="18">
        <f>IF(E10=0,0,(E10*'Tabela de Valores 2026'!D121)+'Tabela de Valores 2026'!C141+'Tabela de Valores 2026'!C144)</f>
        <v>0</v>
      </c>
      <c r="F15" s="15"/>
      <c r="G15"/>
      <c r="N15"/>
    </row>
    <row r="16" spans="1:16384" s="28" customFormat="1">
      <c r="B16" s="152" t="s">
        <v>93</v>
      </c>
      <c r="C16" s="152"/>
      <c r="D16" s="18">
        <f>IF(E10=0,0,(E10*'Tabela de Valores 2026'!E122)+'Tabela de Valores 2026'!C142+'Tabela de Valores 2026'!C145)</f>
        <v>0</v>
      </c>
      <c r="F16" s="15"/>
      <c r="G16"/>
      <c r="N16"/>
    </row>
    <row r="17" spans="1:14" s="28" customFormat="1">
      <c r="B17" s="152" t="s">
        <v>91</v>
      </c>
      <c r="C17" s="152"/>
      <c r="D17" s="18">
        <f>IF(E11=0,0,(E11*'Tabela de Valores 2026'!D37))</f>
        <v>0</v>
      </c>
      <c r="F17" s="15"/>
      <c r="G17"/>
      <c r="N17"/>
    </row>
    <row r="18" spans="1:14">
      <c r="B18" s="152" t="s">
        <v>9</v>
      </c>
      <c r="C18" s="152"/>
      <c r="D18" s="118">
        <f>IF(E10&lt;'% Legalização'!B10,E10*'Tabela de Valores 2026'!F121,IF(E10&lt;'% Legalização'!B11,E10*'Tabela de Valores 2026'!F122,IF(E10&lt;'% Legalização'!B12,E10*'Tabela de Valores 2026'!F123,IF(E10&lt;='% Legalização'!B13,E10*'Tabela de Valores 2026'!F124,IF(E10&gt;='% Legalização'!A14,E10*'Tabela de Valores 2026'!F125)))))</f>
        <v>0</v>
      </c>
      <c r="G18"/>
      <c r="J18" s="19"/>
      <c r="K18" s="19"/>
      <c r="L18" s="19"/>
      <c r="M18" s="19"/>
    </row>
    <row r="19" spans="1:14">
      <c r="A19" s="150" t="s">
        <v>19</v>
      </c>
      <c r="B19" s="150"/>
      <c r="C19" s="150"/>
      <c r="D19" s="20">
        <f>SUM(D15:D18)</f>
        <v>0</v>
      </c>
      <c r="E19"/>
      <c r="F19"/>
      <c r="J19" s="21"/>
      <c r="K19" s="21"/>
      <c r="L19" s="21"/>
      <c r="M19" s="22"/>
    </row>
    <row r="20" spans="1:14">
      <c r="A20" s="23"/>
      <c r="B20" s="24"/>
      <c r="C20" s="25"/>
      <c r="D20" s="26"/>
      <c r="E20"/>
      <c r="F20"/>
      <c r="J20" s="21"/>
      <c r="K20" s="21"/>
      <c r="L20" s="21"/>
      <c r="M20" s="22"/>
    </row>
    <row r="21" spans="1:14" s="28" customFormat="1">
      <c r="A21" s="23"/>
      <c r="B21" s="24"/>
      <c r="C21" s="135"/>
      <c r="D21" s="26"/>
      <c r="E21"/>
      <c r="F21"/>
      <c r="J21" s="21"/>
      <c r="K21" s="21"/>
      <c r="L21" s="21"/>
      <c r="M21" s="22"/>
    </row>
    <row r="22" spans="1:14">
      <c r="A22" s="152" t="s">
        <v>98</v>
      </c>
      <c r="B22" s="152"/>
      <c r="C22" s="152"/>
      <c r="D22" s="10"/>
      <c r="E22"/>
      <c r="F22"/>
      <c r="G22" s="15"/>
      <c r="J22" s="15"/>
      <c r="K22" s="15"/>
      <c r="L22" s="15"/>
    </row>
    <row r="23" spans="1:14">
      <c r="A23" s="153" t="s">
        <v>99</v>
      </c>
      <c r="B23" s="153"/>
      <c r="C23" s="153"/>
      <c r="D23" s="132">
        <f>D22*'Tabela de Valores 2026'!H129</f>
        <v>0</v>
      </c>
      <c r="E23"/>
      <c r="F23"/>
    </row>
    <row r="24" spans="1:14">
      <c r="E24"/>
      <c r="F24"/>
    </row>
    <row r="25" spans="1:14" s="28" customFormat="1">
      <c r="A25" s="157" t="s">
        <v>102</v>
      </c>
      <c r="B25" s="157"/>
      <c r="C25" s="157"/>
      <c r="D25" s="133">
        <f>D19+D23+Residencial!D23+Residencial!D27+Comercial!D23+Comercial!D27+Industrial!D23+Industrial!D27+'Diversos Res.'!D23+'Diversos Res.'!D27+'Diversos Com. Ind.'!D23+'Diversos Com. Ind.'!D27</f>
        <v>0</v>
      </c>
      <c r="E25"/>
      <c r="F25"/>
    </row>
    <row r="26" spans="1:14" s="28" customFormat="1">
      <c r="E26"/>
      <c r="F26"/>
    </row>
    <row r="27" spans="1:14">
      <c r="A27" s="156" t="s">
        <v>11</v>
      </c>
      <c r="B27" s="156"/>
      <c r="C27" s="156"/>
      <c r="D27" s="156"/>
      <c r="E27" s="156"/>
      <c r="F27" s="156"/>
      <c r="G27" s="156"/>
    </row>
    <row r="28" spans="1:14">
      <c r="A28" s="156" t="s">
        <v>12</v>
      </c>
      <c r="B28" s="156"/>
      <c r="C28" s="156"/>
      <c r="D28" s="156"/>
      <c r="E28" s="156"/>
      <c r="F28" s="156"/>
      <c r="G28" s="156"/>
    </row>
    <row r="29" spans="1:14">
      <c r="A29" s="134"/>
      <c r="E29"/>
      <c r="F29"/>
    </row>
    <row r="30" spans="1:14">
      <c r="A30" s="136" t="s">
        <v>107</v>
      </c>
    </row>
    <row r="31" spans="1:14">
      <c r="A31" s="136" t="s">
        <v>105</v>
      </c>
    </row>
    <row r="32" spans="1:14">
      <c r="A32" s="137" t="s">
        <v>106</v>
      </c>
    </row>
    <row r="33" spans="1:1">
      <c r="A33" s="138" t="s">
        <v>104</v>
      </c>
    </row>
  </sheetData>
  <sheetProtection password="81F1" sheet="1" objects="1" scenarios="1" selectLockedCells="1"/>
  <mergeCells count="15">
    <mergeCell ref="A19:C19"/>
    <mergeCell ref="A23:C23"/>
    <mergeCell ref="A27:G27"/>
    <mergeCell ref="A28:G28"/>
    <mergeCell ref="A1:G1"/>
    <mergeCell ref="D5:F5"/>
    <mergeCell ref="D8:F8"/>
    <mergeCell ref="B10:D10"/>
    <mergeCell ref="B16:C16"/>
    <mergeCell ref="B15:C15"/>
    <mergeCell ref="B14:D14"/>
    <mergeCell ref="B17:C17"/>
    <mergeCell ref="B18:C18"/>
    <mergeCell ref="A22:C22"/>
    <mergeCell ref="A25:C25"/>
  </mergeCells>
  <pageMargins left="0.78749999999999998" right="0.78749999999999998" top="1.0249999999999999" bottom="1.0249999999999999" header="0.78749999999999998" footer="0.78749999999999998"/>
  <pageSetup paperSize="9" scale="65" orientation="portrait" horizontalDpi="300" verticalDpi="300"/>
  <headerFooter>
    <oddHeader>&amp;C&amp;A</oddHeader>
    <oddFooter>&amp;CPágina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J38"/>
  <sheetViews>
    <sheetView showGridLines="0" zoomScaleNormal="100" workbookViewId="0">
      <selection activeCell="E7" sqref="E7"/>
    </sheetView>
  </sheetViews>
  <sheetFormatPr defaultColWidth="11.5703125" defaultRowHeight="12.75"/>
  <cols>
    <col min="1" max="1" width="19.85546875" style="28" customWidth="1"/>
    <col min="2" max="3" width="14" style="28" customWidth="1"/>
    <col min="4" max="4" width="20" style="28" bestFit="1" customWidth="1"/>
    <col min="5" max="5" width="14.5703125" style="28" customWidth="1"/>
    <col min="6" max="6" width="13.7109375" style="28" customWidth="1"/>
    <col min="7" max="7" width="9.5703125" style="28" customWidth="1"/>
    <col min="8" max="8" width="0" style="28" hidden="1" customWidth="1"/>
    <col min="9" max="9" width="12.42578125" style="28" hidden="1" customWidth="1"/>
    <col min="10" max="10" width="0" style="28" hidden="1" customWidth="1"/>
    <col min="11" max="11" width="12.42578125" style="28" hidden="1" customWidth="1"/>
    <col min="12" max="16384" width="11.5703125" style="28"/>
  </cols>
  <sheetData>
    <row r="1" spans="1:1024" ht="15.75">
      <c r="A1" s="139" t="s">
        <v>79</v>
      </c>
      <c r="B1" s="139"/>
      <c r="C1" s="139"/>
      <c r="D1" s="139"/>
      <c r="E1" s="139"/>
      <c r="F1" s="139"/>
      <c r="G1" s="139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</row>
    <row r="2" spans="1:1024">
      <c r="A2" s="4"/>
      <c r="B2" s="5"/>
      <c r="C2" s="5"/>
      <c r="D2" s="5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</row>
    <row r="3" spans="1:1024">
      <c r="A3" s="4"/>
      <c r="D3"/>
      <c r="E3"/>
      <c r="F3" s="6" t="s">
        <v>0</v>
      </c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</row>
    <row r="4" spans="1:1024">
      <c r="A4" s="4"/>
      <c r="D4"/>
      <c r="E4"/>
      <c r="H4" s="2"/>
      <c r="I4" s="3"/>
      <c r="J4" s="3"/>
      <c r="K4" s="3"/>
      <c r="L4" s="3"/>
      <c r="M4" s="3"/>
      <c r="N4" s="3"/>
      <c r="O4" s="3"/>
      <c r="P4" s="3"/>
      <c r="Q4"/>
      <c r="R4"/>
      <c r="S4"/>
      <c r="T4"/>
      <c r="U4"/>
      <c r="V4"/>
      <c r="W4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</row>
    <row r="5" spans="1:1024">
      <c r="A5" s="4"/>
      <c r="D5" s="140" t="s">
        <v>1</v>
      </c>
      <c r="E5" s="140"/>
      <c r="F5" s="140"/>
      <c r="H5" s="2"/>
      <c r="I5" s="3"/>
      <c r="J5" s="3"/>
      <c r="K5" s="3"/>
      <c r="L5" s="3"/>
      <c r="M5" s="3"/>
      <c r="N5" s="3"/>
      <c r="O5" s="3"/>
      <c r="P5" s="3"/>
      <c r="Q5"/>
      <c r="R5"/>
      <c r="S5"/>
      <c r="T5"/>
      <c r="U5"/>
      <c r="V5"/>
      <c r="W5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</row>
    <row r="6" spans="1:1024" ht="12.75" customHeight="1">
      <c r="A6" s="4"/>
      <c r="B6" s="5"/>
      <c r="C6" s="5"/>
      <c r="D6" s="141" t="s">
        <v>2</v>
      </c>
      <c r="E6" s="7" t="s">
        <v>3</v>
      </c>
      <c r="F6" s="7" t="s">
        <v>4</v>
      </c>
      <c r="G6" s="2"/>
      <c r="H6" s="120" t="s">
        <v>94</v>
      </c>
      <c r="I6" s="120" t="s">
        <v>94</v>
      </c>
      <c r="J6" s="120" t="s">
        <v>94</v>
      </c>
      <c r="K6" s="120" t="s">
        <v>94</v>
      </c>
      <c r="L6" s="3"/>
      <c r="M6" s="3"/>
      <c r="N6" s="3"/>
      <c r="O6" s="3"/>
      <c r="P6" s="3"/>
      <c r="Q6"/>
      <c r="R6"/>
      <c r="S6"/>
      <c r="T6"/>
      <c r="U6"/>
      <c r="V6"/>
      <c r="W6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</row>
    <row r="7" spans="1:1024">
      <c r="A7" s="3"/>
      <c r="B7" s="8"/>
      <c r="C7" s="2"/>
      <c r="D7" s="142"/>
      <c r="E7" s="9"/>
      <c r="F7" s="9"/>
      <c r="G7" s="2"/>
      <c r="H7" s="2"/>
      <c r="I7" s="3"/>
      <c r="Q7"/>
      <c r="R7"/>
      <c r="S7"/>
      <c r="T7"/>
      <c r="U7"/>
      <c r="V7"/>
      <c r="W7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</row>
    <row r="8" spans="1:1024">
      <c r="Q8"/>
      <c r="R8"/>
      <c r="S8"/>
      <c r="T8"/>
      <c r="U8"/>
      <c r="V8"/>
      <c r="W8"/>
    </row>
    <row r="9" spans="1:1024">
      <c r="Q9"/>
      <c r="R9"/>
      <c r="S9"/>
      <c r="T9"/>
      <c r="U9"/>
      <c r="V9"/>
      <c r="W9"/>
    </row>
    <row r="10" spans="1:1024">
      <c r="A10" s="143" t="s">
        <v>96</v>
      </c>
      <c r="B10" s="143"/>
      <c r="C10" s="143"/>
      <c r="D10" s="159"/>
      <c r="E10" s="10"/>
      <c r="F10" s="11" t="s">
        <v>5</v>
      </c>
      <c r="Q10"/>
      <c r="R10"/>
      <c r="S10"/>
      <c r="T10"/>
      <c r="U10"/>
      <c r="V10"/>
      <c r="W10"/>
    </row>
    <row r="11" spans="1:1024">
      <c r="A11" s="121"/>
      <c r="B11" s="121"/>
      <c r="C11" s="121"/>
      <c r="D11" s="122" t="s">
        <v>92</v>
      </c>
      <c r="E11" s="119"/>
      <c r="F11" s="11"/>
      <c r="G11" s="13"/>
      <c r="Q11"/>
      <c r="R11"/>
      <c r="S11"/>
      <c r="T11"/>
      <c r="U11"/>
      <c r="V11"/>
      <c r="W11"/>
    </row>
    <row r="12" spans="1:1024" hidden="1">
      <c r="A12" s="120" t="s">
        <v>94</v>
      </c>
      <c r="B12" s="148" t="s">
        <v>6</v>
      </c>
      <c r="C12" s="148"/>
      <c r="D12" s="149"/>
      <c r="E12" s="10"/>
      <c r="F12" s="11" t="s">
        <v>7</v>
      </c>
      <c r="G12"/>
      <c r="Q12"/>
      <c r="R12"/>
      <c r="S12"/>
      <c r="T12"/>
      <c r="U12"/>
      <c r="V12"/>
      <c r="W12"/>
    </row>
    <row r="13" spans="1:1024">
      <c r="A13" s="97"/>
      <c r="C13" s="14"/>
      <c r="D13" s="15"/>
      <c r="E13"/>
      <c r="F13" s="16"/>
      <c r="Q13"/>
      <c r="R13"/>
      <c r="S13"/>
      <c r="T13"/>
      <c r="U13"/>
      <c r="V13"/>
      <c r="W13"/>
    </row>
    <row r="14" spans="1:1024">
      <c r="E14"/>
      <c r="F14"/>
      <c r="G14"/>
      <c r="J14"/>
      <c r="K14"/>
      <c r="L14"/>
      <c r="M14"/>
    </row>
    <row r="15" spans="1:1024" hidden="1">
      <c r="A15" s="120" t="s">
        <v>94</v>
      </c>
      <c r="D15" s="17">
        <f>E10*'Tabela de Valores 2026'!D44</f>
        <v>0</v>
      </c>
      <c r="E15"/>
      <c r="F15"/>
      <c r="G15"/>
      <c r="J15"/>
      <c r="K15"/>
      <c r="L15"/>
      <c r="M15"/>
    </row>
    <row r="16" spans="1:1024" hidden="1">
      <c r="A16" s="120" t="s">
        <v>94</v>
      </c>
      <c r="D16" s="17">
        <f>E10*'Tabela de Valores 2026'!E44</f>
        <v>0</v>
      </c>
      <c r="E16"/>
      <c r="F16"/>
      <c r="G16"/>
      <c r="J16"/>
      <c r="K16"/>
      <c r="L16"/>
      <c r="M16"/>
    </row>
    <row r="17" spans="1:1024" hidden="1">
      <c r="A17" s="120" t="s">
        <v>94</v>
      </c>
      <c r="D17" s="17">
        <f>E11*'Tabela de Valores 2026'!D37</f>
        <v>0</v>
      </c>
      <c r="E17"/>
      <c r="F17"/>
      <c r="G17"/>
      <c r="J17"/>
      <c r="K17"/>
      <c r="L17"/>
      <c r="M17"/>
    </row>
    <row r="18" spans="1:1024">
      <c r="A18"/>
      <c r="B18" s="145" t="s">
        <v>8</v>
      </c>
      <c r="C18" s="146"/>
      <c r="D18" s="147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>
      <c r="B19" s="152" t="s">
        <v>90</v>
      </c>
      <c r="C19" s="152"/>
      <c r="D19" s="18">
        <f>IF(D15=44.57,0,IF(E7=0,D15,IF(E10&lt;'% Legalização'!A3,D15,IF(E10&lt;'% Legalização'!A4,D15*'% Legalização'!C3,IF(E10&lt;'% Legalização'!A5,D15*'% Legalização'!C4,IF(E10&lt;'% Legalização'!A6,D15*'% Legalização'!C5,D15*'% Legalização'!C6))))))</f>
        <v>0</v>
      </c>
      <c r="E19" s="144" t="str">
        <f>IF(E10&lt;'% Legalização'!B2," ",IF(E7&lt;&gt;0,"(Conforme Art.4º da Lei nº 12.927/23)"," "))</f>
        <v xml:space="preserve"> </v>
      </c>
      <c r="F19" s="144"/>
      <c r="G19"/>
      <c r="H19" s="51">
        <v>1</v>
      </c>
      <c r="I19" s="128">
        <f>E10*1.2</f>
        <v>0</v>
      </c>
      <c r="J19" s="51">
        <v>1</v>
      </c>
      <c r="K19" s="128">
        <f>D26*0.5</f>
        <v>0</v>
      </c>
      <c r="N19"/>
    </row>
    <row r="20" spans="1:1024">
      <c r="B20" s="152" t="s">
        <v>93</v>
      </c>
      <c r="C20" s="152"/>
      <c r="D20" s="18">
        <f>IF(D16=44.57,0,IF(E7=0,D16,IF(E10&lt;'% Legalização'!A3,D16,IF(E10&lt;'% Legalização'!A4,D16*'% Legalização'!C3,IF(E10&lt;'% Legalização'!A5,D16*'% Legalização'!C4,IF(E10&lt;'% Legalização'!A6,D16*'% Legalização'!C5,D16*'% Legalização'!C6))))))</f>
        <v>0</v>
      </c>
      <c r="E20" s="144" t="str">
        <f>IF(E10&lt;'% Legalização'!B2," ",IF(E7&lt;&gt;0,"(Conforme Art.4º da Lei nº 12.927/23)"," "))</f>
        <v xml:space="preserve"> </v>
      </c>
      <c r="F20" s="144"/>
      <c r="G20"/>
      <c r="H20" s="51">
        <v>1.25</v>
      </c>
      <c r="I20" s="128">
        <f>$E$10*'Tabela de Valores 2026'!$E$44*H20</f>
        <v>0</v>
      </c>
      <c r="J20" s="51">
        <v>1.25</v>
      </c>
      <c r="K20" s="128">
        <f>$D$26*'Tabela de Valores 2026'!$C$131*J20</f>
        <v>0</v>
      </c>
      <c r="N20"/>
    </row>
    <row r="21" spans="1:1024">
      <c r="B21" s="152" t="s">
        <v>91</v>
      </c>
      <c r="C21" s="152"/>
      <c r="D21" s="18">
        <f>IF(D17=44.57,0,IF(E7=0,D17,IF(E10&lt;'% Legalização'!A3,D17,IF(E10&lt;'% Legalização'!A4,D17*'% Legalização'!C3,IF(E10&lt;'% Legalização'!A5,D17*'% Legalização'!C4,IF(E10&lt;'% Legalização'!A6,D17*'% Legalização'!C5,D17*'% Legalização'!C6))))))</f>
        <v>0</v>
      </c>
      <c r="E21" s="144" t="str">
        <f>IF(E10&lt;'% Legalização'!B2," ",IF(E7&lt;&gt;0,"(Conforme Art.4º da Lei nº 12.927/23)"," "))</f>
        <v xml:space="preserve"> </v>
      </c>
      <c r="F21" s="144"/>
      <c r="G21"/>
      <c r="H21" s="51">
        <v>1.5</v>
      </c>
      <c r="I21" s="128">
        <f>$E$10*'Tabela de Valores 2026'!$E$44*H21</f>
        <v>0</v>
      </c>
      <c r="J21" s="51">
        <v>1.5</v>
      </c>
      <c r="K21" s="128">
        <f>$D$26*'Tabela de Valores 2026'!$C$131*J21</f>
        <v>0</v>
      </c>
      <c r="N21"/>
    </row>
    <row r="22" spans="1:1024">
      <c r="B22" s="152" t="s">
        <v>9</v>
      </c>
      <c r="C22" s="152"/>
      <c r="D22" s="18" t="s">
        <v>100</v>
      </c>
      <c r="E22" s="98"/>
      <c r="F22" s="98"/>
      <c r="G22"/>
      <c r="H22" s="51"/>
      <c r="I22" s="128"/>
      <c r="J22" s="51"/>
      <c r="K22" s="128"/>
      <c r="N22"/>
    </row>
    <row r="23" spans="1:1024">
      <c r="A23" s="150" t="s">
        <v>10</v>
      </c>
      <c r="B23" s="150"/>
      <c r="C23" s="150"/>
      <c r="D23" s="20">
        <f>SUM(D19:D21)</f>
        <v>0</v>
      </c>
      <c r="E23" s="151"/>
      <c r="F23" s="151"/>
      <c r="G23"/>
      <c r="H23" s="51">
        <v>1.75</v>
      </c>
      <c r="I23" s="128">
        <f>$E$10*'Tabela de Valores 2026'!$E$44*H23</f>
        <v>0</v>
      </c>
      <c r="J23" s="51">
        <v>1.75</v>
      </c>
      <c r="K23" s="128">
        <f>$D$26*'Tabela de Valores 2026'!$C$131*J23</f>
        <v>0</v>
      </c>
      <c r="L23" s="19"/>
      <c r="M23" s="19"/>
    </row>
    <row r="24" spans="1:1024">
      <c r="A24" s="23"/>
      <c r="B24" s="24"/>
      <c r="C24" s="96"/>
      <c r="D24" s="26"/>
      <c r="E24" s="99"/>
      <c r="H24" s="51">
        <v>2</v>
      </c>
      <c r="I24" s="128">
        <f>$E$10*'Tabela de Valores 2026'!$E$44*H24</f>
        <v>0</v>
      </c>
      <c r="J24" s="51">
        <v>2</v>
      </c>
      <c r="K24" s="128">
        <f>$D$26*'Tabela de Valores 2026'!$C$131*J24</f>
        <v>0</v>
      </c>
      <c r="L24" s="21"/>
      <c r="M24" s="22"/>
    </row>
    <row r="25" spans="1:1024">
      <c r="A25" s="23"/>
      <c r="B25" s="24"/>
      <c r="C25" s="96"/>
      <c r="D25" s="26"/>
      <c r="E25" s="99"/>
      <c r="I25" s="21"/>
      <c r="J25" s="21"/>
      <c r="K25" s="21"/>
      <c r="L25" s="21"/>
      <c r="M25" s="22"/>
    </row>
    <row r="26" spans="1:1024">
      <c r="A26" s="152" t="s">
        <v>98</v>
      </c>
      <c r="B26" s="152"/>
      <c r="C26" s="152"/>
      <c r="D26" s="10"/>
      <c r="E26" s="11" t="s">
        <v>5</v>
      </c>
      <c r="H26"/>
      <c r="I26"/>
      <c r="J26"/>
      <c r="K26"/>
      <c r="L26" s="21"/>
      <c r="M26" s="22"/>
    </row>
    <row r="27" spans="1:1024">
      <c r="A27" s="153" t="s">
        <v>97</v>
      </c>
      <c r="B27" s="153"/>
      <c r="C27" s="153"/>
      <c r="D27" s="132">
        <f>IF(D26=0,0,IF(E7=0,D26*'Tabela de Valores 2026'!C131,IF(D26&lt;'% Legalização'!A3,D26*'Tabela de Valores 2026'!C131,IF(D26&lt;'% Legalização'!A4,D26*'Tabela de Valores 2026'!C131*'% Legalização'!C3,IF(D26&lt;'% Legalização'!A5,D26*'Tabela de Valores 2026'!C131*'% Legalização'!C4,IF(D26&lt;'% Legalização'!A6,D26*'Tabela de Valores 2026'!C131*'% Legalização'!C5,D26*'Tabela de Valores 2026'!C131*'% Legalização'!C6))))))</f>
        <v>0</v>
      </c>
      <c r="E27" s="144" t="str">
        <f>IF(AND(E29=TRUE,D26&gt;='% Legalização'!A3),"(Conforme Art.4º da Lei nº 12.927/23)"," ")</f>
        <v xml:space="preserve"> </v>
      </c>
      <c r="F27" s="144"/>
      <c r="I27" s="21"/>
      <c r="J27" s="21"/>
      <c r="K27" s="21"/>
      <c r="L27" s="21"/>
      <c r="M27" s="22"/>
    </row>
    <row r="28" spans="1:1024">
      <c r="D28" s="15"/>
      <c r="G28" s="15"/>
      <c r="H28" s="15"/>
      <c r="I28" s="15"/>
      <c r="J28" s="15"/>
      <c r="K28" s="15"/>
      <c r="L28" s="15"/>
    </row>
    <row r="29" spans="1:1024" hidden="1">
      <c r="A29" s="120" t="s">
        <v>94</v>
      </c>
      <c r="E29" s="28" t="b">
        <f>AND(E7&lt;&gt;0,D26&gt;='% Legalização'!A3)</f>
        <v>0</v>
      </c>
    </row>
    <row r="30" spans="1:1024">
      <c r="A30" s="157" t="s">
        <v>102</v>
      </c>
      <c r="B30" s="157"/>
      <c r="C30" s="157"/>
      <c r="D30" s="133">
        <f>D23+D27+Residencial!D23+Residencial!D27+Comercial!D23+Comercial!D27+Industrial!D23+Industrial!D27+Demolição!D19+Demolição!D23+'Diversos Com. Ind.'!D23+'Diversos Com. Ind.'!D27</f>
        <v>0</v>
      </c>
    </row>
    <row r="32" spans="1:1024">
      <c r="A32" s="100" t="s">
        <v>11</v>
      </c>
      <c r="B32" s="100"/>
      <c r="C32" s="100"/>
      <c r="D32" s="100"/>
      <c r="E32" s="100"/>
      <c r="F32" s="100"/>
    </row>
    <row r="33" spans="1:7">
      <c r="A33" s="100" t="s">
        <v>12</v>
      </c>
      <c r="B33" s="100"/>
      <c r="C33" s="100"/>
      <c r="D33" s="100"/>
      <c r="E33" s="100"/>
      <c r="F33" s="100"/>
      <c r="G33" s="100"/>
    </row>
    <row r="34" spans="1:7">
      <c r="A34" s="134"/>
      <c r="G34" s="100"/>
    </row>
    <row r="35" spans="1:7">
      <c r="A35" s="136" t="s">
        <v>107</v>
      </c>
    </row>
    <row r="36" spans="1:7">
      <c r="A36" s="136" t="s">
        <v>105</v>
      </c>
    </row>
    <row r="37" spans="1:7">
      <c r="A37" s="137" t="s">
        <v>106</v>
      </c>
    </row>
    <row r="38" spans="1:7">
      <c r="A38" s="138" t="s">
        <v>104</v>
      </c>
    </row>
  </sheetData>
  <sheetProtection password="81F1" sheet="1" objects="1" scenarios="1" selectLockedCells="1"/>
  <mergeCells count="19">
    <mergeCell ref="B22:C22"/>
    <mergeCell ref="A23:C23"/>
    <mergeCell ref="E23:F23"/>
    <mergeCell ref="A30:C30"/>
    <mergeCell ref="A1:G1"/>
    <mergeCell ref="D5:F5"/>
    <mergeCell ref="D6:D7"/>
    <mergeCell ref="B12:D12"/>
    <mergeCell ref="A26:C26"/>
    <mergeCell ref="A10:D10"/>
    <mergeCell ref="B18:D18"/>
    <mergeCell ref="A27:C27"/>
    <mergeCell ref="E27:F27"/>
    <mergeCell ref="B19:C19"/>
    <mergeCell ref="E19:F19"/>
    <mergeCell ref="B20:C20"/>
    <mergeCell ref="E20:F20"/>
    <mergeCell ref="B21:C21"/>
    <mergeCell ref="E21:F21"/>
  </mergeCells>
  <pageMargins left="0.78749999999999998" right="0.78749999999999998" top="1.0249999999999999" bottom="1.0249999999999999" header="0.78749999999999998" footer="0.78749999999999998"/>
  <pageSetup paperSize="9" scale="65" orientation="portrait" useFirstPageNumber="1" horizontalDpi="300" verticalDpi="300" r:id="rId1"/>
  <headerFooter>
    <oddHeader>&amp;C&amp;A</oddHeader>
    <oddFooter>&amp;CPágina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J48"/>
  <sheetViews>
    <sheetView showGridLines="0" zoomScaleNormal="100" workbookViewId="0">
      <selection activeCell="E7" sqref="E7"/>
    </sheetView>
  </sheetViews>
  <sheetFormatPr defaultColWidth="11.5703125" defaultRowHeight="12.75"/>
  <cols>
    <col min="1" max="1" width="19.85546875" style="28" customWidth="1"/>
    <col min="2" max="3" width="14" style="28" customWidth="1"/>
    <col min="4" max="4" width="20" style="28" bestFit="1" customWidth="1"/>
    <col min="5" max="5" width="14.5703125" style="28" customWidth="1"/>
    <col min="6" max="6" width="13.7109375" style="28" customWidth="1"/>
    <col min="7" max="7" width="9.5703125" style="28" customWidth="1"/>
    <col min="8" max="8" width="0" style="28" hidden="1" customWidth="1"/>
    <col min="9" max="9" width="12.42578125" style="28" hidden="1" customWidth="1"/>
    <col min="10" max="10" width="0" style="28" hidden="1" customWidth="1"/>
    <col min="11" max="11" width="12.42578125" style="28" hidden="1" customWidth="1"/>
    <col min="12" max="16384" width="11.5703125" style="28"/>
  </cols>
  <sheetData>
    <row r="1" spans="1:1024" ht="15.75">
      <c r="A1" s="139" t="s">
        <v>79</v>
      </c>
      <c r="B1" s="139"/>
      <c r="C1" s="139"/>
      <c r="D1" s="139"/>
      <c r="E1" s="139"/>
      <c r="F1" s="139"/>
      <c r="G1" s="139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</row>
    <row r="2" spans="1:1024">
      <c r="A2" s="4"/>
      <c r="B2" s="5"/>
      <c r="C2" s="5"/>
      <c r="D2" s="5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</row>
    <row r="3" spans="1:1024">
      <c r="A3" s="4"/>
      <c r="D3"/>
      <c r="E3" s="29" t="s">
        <v>13</v>
      </c>
      <c r="F3" s="31" t="s">
        <v>14</v>
      </c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</row>
    <row r="4" spans="1:1024">
      <c r="A4" s="4"/>
      <c r="D4"/>
      <c r="E4"/>
      <c r="H4" s="2"/>
      <c r="I4" s="3"/>
      <c r="J4" s="3"/>
      <c r="K4" s="3"/>
      <c r="L4" s="3"/>
      <c r="M4" s="3"/>
      <c r="N4" s="3"/>
      <c r="O4" s="3"/>
      <c r="P4" s="3"/>
      <c r="Q4"/>
      <c r="R4"/>
      <c r="S4"/>
      <c r="T4"/>
      <c r="U4"/>
      <c r="V4"/>
      <c r="W4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</row>
    <row r="5" spans="1:1024">
      <c r="A5" s="4"/>
      <c r="D5" s="140" t="s">
        <v>1</v>
      </c>
      <c r="E5" s="140"/>
      <c r="F5" s="140"/>
      <c r="H5" s="2"/>
      <c r="I5" s="3"/>
      <c r="J5" s="3"/>
      <c r="K5" s="3"/>
      <c r="L5" s="3"/>
      <c r="M5" s="3"/>
      <c r="N5" s="3"/>
      <c r="O5" s="3"/>
      <c r="P5" s="3"/>
      <c r="Q5"/>
      <c r="R5"/>
      <c r="S5"/>
      <c r="T5"/>
      <c r="U5"/>
      <c r="V5"/>
      <c r="W5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</row>
    <row r="6" spans="1:1024" ht="12.75" customHeight="1">
      <c r="A6" s="4"/>
      <c r="B6" s="5"/>
      <c r="C6" s="5"/>
      <c r="D6" s="141" t="s">
        <v>2</v>
      </c>
      <c r="E6" s="7" t="s">
        <v>3</v>
      </c>
      <c r="F6" s="7" t="s">
        <v>4</v>
      </c>
      <c r="G6" s="2"/>
      <c r="H6" s="120" t="s">
        <v>94</v>
      </c>
      <c r="I6" s="120" t="s">
        <v>94</v>
      </c>
      <c r="J6" s="120" t="s">
        <v>94</v>
      </c>
      <c r="K6" s="120" t="s">
        <v>94</v>
      </c>
      <c r="L6" s="3"/>
      <c r="M6" s="3"/>
      <c r="N6" s="3"/>
      <c r="O6" s="3"/>
      <c r="P6" s="3"/>
      <c r="Q6"/>
      <c r="R6"/>
      <c r="S6"/>
      <c r="T6"/>
      <c r="U6"/>
      <c r="V6"/>
      <c r="W6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</row>
    <row r="7" spans="1:1024">
      <c r="A7" s="3"/>
      <c r="B7" s="8"/>
      <c r="C7" s="2"/>
      <c r="D7" s="142"/>
      <c r="E7" s="9"/>
      <c r="F7" s="9"/>
      <c r="G7" s="2"/>
      <c r="H7" s="2"/>
      <c r="I7" s="3"/>
      <c r="Q7"/>
      <c r="R7"/>
      <c r="S7"/>
      <c r="T7"/>
      <c r="U7"/>
      <c r="V7"/>
      <c r="W7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</row>
    <row r="8" spans="1:1024">
      <c r="Q8"/>
      <c r="R8"/>
      <c r="S8"/>
      <c r="T8"/>
      <c r="U8"/>
      <c r="V8"/>
      <c r="W8"/>
    </row>
    <row r="9" spans="1:1024">
      <c r="Q9"/>
      <c r="R9"/>
      <c r="S9"/>
      <c r="T9"/>
      <c r="U9"/>
      <c r="V9"/>
      <c r="W9"/>
    </row>
    <row r="10" spans="1:1024">
      <c r="A10" s="143" t="s">
        <v>96</v>
      </c>
      <c r="B10" s="143"/>
      <c r="C10" s="143"/>
      <c r="D10" s="159"/>
      <c r="E10" s="10"/>
      <c r="F10" s="11" t="s">
        <v>5</v>
      </c>
      <c r="Q10"/>
      <c r="R10"/>
      <c r="S10"/>
      <c r="T10"/>
      <c r="U10"/>
      <c r="V10"/>
      <c r="W10"/>
    </row>
    <row r="11" spans="1:1024">
      <c r="A11" s="121"/>
      <c r="B11" s="121"/>
      <c r="C11" s="121"/>
      <c r="D11" s="125" t="s">
        <v>92</v>
      </c>
      <c r="E11" s="119"/>
      <c r="F11" s="11"/>
      <c r="G11" s="13"/>
      <c r="Q11"/>
      <c r="R11"/>
      <c r="S11"/>
      <c r="T11"/>
      <c r="U11"/>
      <c r="V11"/>
      <c r="W11"/>
    </row>
    <row r="12" spans="1:1024" hidden="1">
      <c r="A12" s="120" t="s">
        <v>94</v>
      </c>
      <c r="B12" s="148" t="s">
        <v>6</v>
      </c>
      <c r="C12" s="148"/>
      <c r="D12" s="149"/>
      <c r="E12" s="10"/>
      <c r="F12" s="11" t="s">
        <v>7</v>
      </c>
      <c r="G12"/>
      <c r="Q12"/>
      <c r="R12"/>
      <c r="S12"/>
      <c r="T12"/>
      <c r="U12"/>
      <c r="V12"/>
      <c r="W12"/>
    </row>
    <row r="13" spans="1:1024">
      <c r="A13" s="97"/>
      <c r="C13" s="14"/>
      <c r="D13" s="15"/>
      <c r="E13"/>
      <c r="F13" s="16"/>
      <c r="Q13"/>
      <c r="R13"/>
      <c r="S13"/>
      <c r="T13"/>
      <c r="U13"/>
      <c r="V13"/>
      <c r="W13"/>
    </row>
    <row r="14" spans="1:1024">
      <c r="E14"/>
      <c r="F14"/>
      <c r="G14"/>
      <c r="J14"/>
      <c r="K14"/>
      <c r="L14"/>
      <c r="M14"/>
    </row>
    <row r="15" spans="1:1024" hidden="1">
      <c r="A15" s="120" t="s">
        <v>94</v>
      </c>
      <c r="D15" s="17">
        <f>E10*'Tabela de Valores 2026'!D44</f>
        <v>0</v>
      </c>
      <c r="E15"/>
      <c r="F15"/>
      <c r="G15"/>
      <c r="J15"/>
      <c r="K15"/>
      <c r="L15"/>
      <c r="M15"/>
    </row>
    <row r="16" spans="1:1024" hidden="1">
      <c r="A16" s="120" t="s">
        <v>94</v>
      </c>
      <c r="D16" s="17">
        <f>E10*'Tabela de Valores 2026'!E44</f>
        <v>0</v>
      </c>
      <c r="E16"/>
      <c r="F16"/>
      <c r="G16"/>
      <c r="J16"/>
      <c r="K16"/>
      <c r="L16"/>
      <c r="M16"/>
    </row>
    <row r="17" spans="1:1024" hidden="1">
      <c r="A17" s="120" t="s">
        <v>94</v>
      </c>
      <c r="D17" s="17">
        <f>E11*'Tabela de Valores 2026'!D37</f>
        <v>0</v>
      </c>
      <c r="E17"/>
      <c r="F17"/>
      <c r="G17"/>
      <c r="J17"/>
      <c r="K17"/>
      <c r="L17"/>
      <c r="M17"/>
    </row>
    <row r="18" spans="1:1024">
      <c r="A18"/>
      <c r="B18" s="145" t="s">
        <v>8</v>
      </c>
      <c r="C18" s="146"/>
      <c r="D18" s="147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>
      <c r="B19" s="152" t="s">
        <v>90</v>
      </c>
      <c r="C19" s="152"/>
      <c r="D19" s="18">
        <f>IF(D15=44.57,0,IF(E7=0,D15,D15*'% Legalização'!C23))</f>
        <v>0</v>
      </c>
      <c r="E19" s="144" t="str">
        <f>IF(E10&lt;'% Legalização'!B2," ",IF(E7&lt;&gt;0,"(Conforme Art.4º da Lei nº 12.927/23)"," "))</f>
        <v xml:space="preserve"> </v>
      </c>
      <c r="F19" s="144"/>
      <c r="G19"/>
      <c r="H19" s="51">
        <v>1</v>
      </c>
      <c r="I19" s="128">
        <f>E10*1.2</f>
        <v>0</v>
      </c>
      <c r="J19" s="51">
        <v>1</v>
      </c>
      <c r="K19" s="128">
        <f>D26*0.5</f>
        <v>0</v>
      </c>
      <c r="N19"/>
    </row>
    <row r="20" spans="1:1024">
      <c r="B20" s="152" t="s">
        <v>93</v>
      </c>
      <c r="C20" s="152"/>
      <c r="D20" s="18">
        <f>IF(D16=44.57,0,IF(E7=0,D16,D16*'% Legalização'!C24))</f>
        <v>0</v>
      </c>
      <c r="E20" s="144" t="str">
        <f>IF(E10&lt;'% Legalização'!B2," ",IF(E7&lt;&gt;0,"(Conforme Art.4º da Lei nº 12.927/23)"," "))</f>
        <v xml:space="preserve"> </v>
      </c>
      <c r="F20" s="144"/>
      <c r="G20"/>
      <c r="H20" s="51">
        <v>1.25</v>
      </c>
      <c r="I20" s="128">
        <f>$E$10*'Tabela de Valores 2026'!$E$44*H20</f>
        <v>0</v>
      </c>
      <c r="J20" s="51">
        <v>1.25</v>
      </c>
      <c r="K20" s="128">
        <f>$D$26*'Tabela de Valores 2026'!$C$131*J20</f>
        <v>0</v>
      </c>
      <c r="N20"/>
    </row>
    <row r="21" spans="1:1024">
      <c r="B21" s="152" t="s">
        <v>91</v>
      </c>
      <c r="C21" s="152"/>
      <c r="D21" s="18">
        <f>IF(D17=44.57,0,IF(E7=0,D17,D17*'% Legalização'!C25))</f>
        <v>0</v>
      </c>
      <c r="E21" s="144" t="str">
        <f>IF(E10&lt;'% Legalização'!B2," ",IF(E7&lt;&gt;0,"(Conforme Art.4º da Lei nº 12.927/23)"," "))</f>
        <v xml:space="preserve"> </v>
      </c>
      <c r="F21" s="144"/>
      <c r="G21"/>
      <c r="H21" s="51">
        <v>1.5</v>
      </c>
      <c r="I21" s="128">
        <f>$E$10*'Tabela de Valores 2026'!$E$44*H21</f>
        <v>0</v>
      </c>
      <c r="J21" s="51">
        <v>1.5</v>
      </c>
      <c r="K21" s="128">
        <f>$D$26*'Tabela de Valores 2026'!$C$131*J21</f>
        <v>0</v>
      </c>
      <c r="N21"/>
    </row>
    <row r="22" spans="1:1024">
      <c r="B22" s="152" t="s">
        <v>9</v>
      </c>
      <c r="C22" s="152"/>
      <c r="D22" s="18" t="s">
        <v>100</v>
      </c>
      <c r="E22" s="123"/>
      <c r="F22" s="123"/>
      <c r="G22"/>
      <c r="H22" s="51"/>
      <c r="I22" s="128"/>
      <c r="J22" s="51"/>
      <c r="K22" s="128"/>
      <c r="N22"/>
    </row>
    <row r="23" spans="1:1024">
      <c r="A23" s="150" t="s">
        <v>10</v>
      </c>
      <c r="B23" s="150"/>
      <c r="C23" s="150"/>
      <c r="D23" s="20">
        <f>SUM(D19:D21)</f>
        <v>0</v>
      </c>
      <c r="E23" s="151"/>
      <c r="F23" s="151"/>
      <c r="G23"/>
      <c r="H23" s="51">
        <v>1.75</v>
      </c>
      <c r="I23" s="128">
        <f>$E$10*'Tabela de Valores 2026'!$E$44*H23</f>
        <v>0</v>
      </c>
      <c r="J23" s="51">
        <v>1.75</v>
      </c>
      <c r="K23" s="128">
        <f>$D$26*'Tabela de Valores 2026'!$C$131*J23</f>
        <v>0</v>
      </c>
      <c r="L23" s="19"/>
      <c r="M23" s="19"/>
    </row>
    <row r="24" spans="1:1024">
      <c r="A24" s="23"/>
      <c r="B24" s="24"/>
      <c r="C24" s="127"/>
      <c r="D24" s="26"/>
      <c r="E24" s="126"/>
      <c r="H24" s="51">
        <v>2</v>
      </c>
      <c r="I24" s="128">
        <f>$E$10*'Tabela de Valores 2026'!$E$44*H24</f>
        <v>0</v>
      </c>
      <c r="J24" s="51">
        <v>2</v>
      </c>
      <c r="K24" s="128">
        <f>$D$26*'Tabela de Valores 2026'!$C$131*J24</f>
        <v>0</v>
      </c>
      <c r="L24" s="21"/>
      <c r="M24" s="22"/>
    </row>
    <row r="25" spans="1:1024">
      <c r="A25" s="23"/>
      <c r="B25" s="24"/>
      <c r="C25" s="127"/>
      <c r="D25" s="26"/>
      <c r="E25" s="126"/>
      <c r="I25" s="21"/>
      <c r="J25" s="21"/>
      <c r="K25" s="21"/>
      <c r="L25" s="21"/>
      <c r="M25" s="22"/>
    </row>
    <row r="26" spans="1:1024">
      <c r="A26" s="152" t="s">
        <v>98</v>
      </c>
      <c r="B26" s="152"/>
      <c r="C26" s="152"/>
      <c r="D26" s="10"/>
      <c r="E26" s="11" t="s">
        <v>5</v>
      </c>
      <c r="H26"/>
      <c r="I26"/>
      <c r="J26"/>
      <c r="K26"/>
      <c r="L26" s="21"/>
      <c r="M26" s="22"/>
    </row>
    <row r="27" spans="1:1024">
      <c r="A27" s="153" t="s">
        <v>97</v>
      </c>
      <c r="B27" s="153"/>
      <c r="C27" s="153"/>
      <c r="D27" s="132">
        <f>IF(D26=0,0,IF(E7=0,D26*'Tabela de Valores 2026'!C131,D26*'Tabela de Valores 2026'!C131*2))</f>
        <v>0</v>
      </c>
      <c r="E27" s="144" t="str">
        <f>IF(AND(E29=TRUE,D26&gt;='% Legalização'!A3),"(Conforme Art.4º da Lei nº 12.927/23)"," ")</f>
        <v xml:space="preserve"> </v>
      </c>
      <c r="F27" s="144"/>
      <c r="I27" s="21"/>
      <c r="J27" s="21"/>
      <c r="K27" s="21"/>
      <c r="L27" s="21"/>
      <c r="M27" s="22"/>
    </row>
    <row r="28" spans="1:1024">
      <c r="D28" s="15"/>
      <c r="G28" s="15"/>
      <c r="H28" s="15"/>
      <c r="I28" s="15"/>
      <c r="J28" s="15"/>
      <c r="K28" s="15"/>
      <c r="L28" s="15"/>
    </row>
    <row r="29" spans="1:1024" hidden="1">
      <c r="A29" s="120" t="s">
        <v>94</v>
      </c>
      <c r="E29" s="28" t="b">
        <f>AND(E7&lt;&gt;0,D26&gt;='% Legalização'!A3)</f>
        <v>0</v>
      </c>
    </row>
    <row r="30" spans="1:1024">
      <c r="A30" s="157" t="s">
        <v>102</v>
      </c>
      <c r="B30" s="157"/>
      <c r="C30" s="157"/>
      <c r="D30" s="133">
        <f>D23+D27+Residencial!D23+Residencial!D27+Comercial!D23+Comercial!D27+Industrial!D23+Industrial!D27+Demolição!D19+Demolição!D23+'Diversos Res.'!D23+'Diversos Res.'!D27</f>
        <v>0</v>
      </c>
    </row>
    <row r="32" spans="1:1024">
      <c r="A32" s="124" t="s">
        <v>11</v>
      </c>
      <c r="B32" s="124"/>
      <c r="C32" s="124"/>
      <c r="D32" s="124"/>
      <c r="E32" s="124"/>
      <c r="F32" s="124"/>
    </row>
    <row r="33" spans="1:7">
      <c r="A33" s="124" t="s">
        <v>12</v>
      </c>
      <c r="B33" s="124"/>
      <c r="C33" s="124"/>
      <c r="D33" s="124"/>
      <c r="E33" s="124"/>
      <c r="F33" s="124"/>
      <c r="G33" s="124"/>
    </row>
    <row r="34" spans="1:7">
      <c r="A34" s="134"/>
      <c r="G34" s="124"/>
    </row>
    <row r="35" spans="1:7">
      <c r="A35" s="136" t="s">
        <v>107</v>
      </c>
    </row>
    <row r="36" spans="1:7">
      <c r="A36" s="136" t="s">
        <v>105</v>
      </c>
    </row>
    <row r="37" spans="1:7">
      <c r="A37" s="137" t="s">
        <v>106</v>
      </c>
    </row>
    <row r="38" spans="1:7">
      <c r="A38" s="138" t="s">
        <v>104</v>
      </c>
    </row>
    <row r="45" spans="1:7">
      <c r="F45" s="136"/>
    </row>
    <row r="46" spans="1:7">
      <c r="F46" s="136"/>
    </row>
    <row r="47" spans="1:7">
      <c r="F47" s="137"/>
    </row>
    <row r="48" spans="1:7">
      <c r="F48" s="138"/>
    </row>
  </sheetData>
  <sheetProtection password="81F1" sheet="1" objects="1" scenarios="1" selectLockedCells="1"/>
  <mergeCells count="19">
    <mergeCell ref="A30:C30"/>
    <mergeCell ref="B22:C22"/>
    <mergeCell ref="A23:C23"/>
    <mergeCell ref="E23:F23"/>
    <mergeCell ref="A26:C26"/>
    <mergeCell ref="A27:C27"/>
    <mergeCell ref="E27:F27"/>
    <mergeCell ref="B19:C19"/>
    <mergeCell ref="E19:F19"/>
    <mergeCell ref="B20:C20"/>
    <mergeCell ref="E20:F20"/>
    <mergeCell ref="B21:C21"/>
    <mergeCell ref="E21:F21"/>
    <mergeCell ref="B18:D18"/>
    <mergeCell ref="A1:G1"/>
    <mergeCell ref="D5:F5"/>
    <mergeCell ref="D6:D7"/>
    <mergeCell ref="A10:D10"/>
    <mergeCell ref="B12:D12"/>
  </mergeCells>
  <pageMargins left="0.78749999999999998" right="0.78749999999999998" top="1.0249999999999999" bottom="1.0249999999999999" header="0.78749999999999998" footer="0.78749999999999998"/>
  <pageSetup paperSize="9" scale="65" orientation="portrait" useFirstPageNumber="1" horizontalDpi="300" verticalDpi="300" r:id="rId1"/>
  <headerFooter>
    <oddHeader>&amp;C&amp;A</oddHeader>
    <oddFooter>&amp;CPágina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59"/>
  <sheetViews>
    <sheetView zoomScaleNormal="100" workbookViewId="0">
      <selection activeCell="F2" sqref="F2"/>
    </sheetView>
  </sheetViews>
  <sheetFormatPr defaultColWidth="11.5703125" defaultRowHeight="12.75"/>
  <cols>
    <col min="1" max="1" width="20" customWidth="1"/>
    <col min="2" max="2" width="23.7109375" customWidth="1"/>
    <col min="3" max="3" width="18.140625" customWidth="1"/>
    <col min="6" max="6" width="18.5703125" style="90" customWidth="1"/>
    <col min="7" max="8" width="11.5703125" hidden="1" customWidth="1"/>
    <col min="9" max="9" width="11.5703125" style="28" hidden="1" customWidth="1"/>
  </cols>
  <sheetData>
    <row r="1" spans="1:9">
      <c r="A1" s="32"/>
      <c r="B1" s="33"/>
      <c r="C1" s="34"/>
      <c r="D1" s="34"/>
      <c r="E1" s="34"/>
      <c r="F1" s="87"/>
    </row>
    <row r="2" spans="1:9">
      <c r="A2" s="32"/>
      <c r="B2" s="33"/>
      <c r="C2" s="34"/>
      <c r="D2" s="34"/>
      <c r="E2" s="34"/>
      <c r="F2" s="87"/>
      <c r="G2" s="120" t="s">
        <v>94</v>
      </c>
      <c r="I2" s="120" t="s">
        <v>94</v>
      </c>
    </row>
    <row r="3" spans="1:9">
      <c r="A3" s="32"/>
      <c r="B3" s="33"/>
      <c r="C3" s="34"/>
      <c r="D3" s="34"/>
      <c r="E3" s="34"/>
      <c r="F3" s="87"/>
    </row>
    <row r="4" spans="1:9">
      <c r="A4" s="32"/>
      <c r="B4" s="33"/>
      <c r="C4" s="34"/>
      <c r="D4" s="34"/>
      <c r="E4" s="34"/>
      <c r="F4" s="87"/>
    </row>
    <row r="5" spans="1:9">
      <c r="A5" s="32"/>
      <c r="B5" s="33"/>
      <c r="C5" s="34"/>
      <c r="D5" s="34"/>
      <c r="E5" s="34"/>
      <c r="F5" s="87"/>
    </row>
    <row r="6" spans="1:9">
      <c r="A6" s="32"/>
      <c r="B6" s="33"/>
      <c r="C6" s="34"/>
      <c r="D6" s="34"/>
      <c r="E6" s="34"/>
    </row>
    <row r="7" spans="1:9">
      <c r="A7" s="1"/>
      <c r="B7" s="158" t="s">
        <v>103</v>
      </c>
      <c r="C7" s="158"/>
      <c r="D7" s="1"/>
      <c r="E7" s="34"/>
      <c r="F7" s="130" t="s">
        <v>89</v>
      </c>
    </row>
    <row r="8" spans="1:9">
      <c r="A8" s="1"/>
      <c r="B8" s="158" t="s">
        <v>78</v>
      </c>
      <c r="C8" s="158"/>
      <c r="D8" s="192" t="s">
        <v>81</v>
      </c>
      <c r="E8" s="192" t="s">
        <v>80</v>
      </c>
      <c r="F8" s="131">
        <v>4.4999999999999998E-2</v>
      </c>
    </row>
    <row r="9" spans="1:9">
      <c r="A9" s="28"/>
      <c r="B9" s="85"/>
      <c r="C9" s="85"/>
      <c r="D9" s="192"/>
      <c r="E9" s="192"/>
    </row>
    <row r="10" spans="1:9">
      <c r="A10" s="34"/>
      <c r="B10" s="163" t="s">
        <v>86</v>
      </c>
      <c r="C10" s="163"/>
      <c r="D10" s="192"/>
      <c r="E10" s="192"/>
      <c r="G10" s="28"/>
    </row>
    <row r="11" spans="1:9" ht="12.75" customHeight="1">
      <c r="A11" s="1"/>
      <c r="B11" s="163"/>
      <c r="C11" s="163"/>
      <c r="D11" s="192"/>
      <c r="E11" s="192"/>
      <c r="F11" s="101" t="s">
        <v>20</v>
      </c>
      <c r="G11" s="11"/>
    </row>
    <row r="12" spans="1:9">
      <c r="A12" s="1"/>
      <c r="B12" s="162" t="s">
        <v>21</v>
      </c>
      <c r="C12" s="162" t="s">
        <v>22</v>
      </c>
      <c r="D12" s="36" t="s">
        <v>22</v>
      </c>
      <c r="E12" s="36" t="s">
        <v>22</v>
      </c>
      <c r="F12" s="88" t="s">
        <v>22</v>
      </c>
      <c r="G12" s="7">
        <v>2025</v>
      </c>
    </row>
    <row r="13" spans="1:9">
      <c r="A13" s="1"/>
      <c r="B13" s="160" t="s">
        <v>23</v>
      </c>
      <c r="C13" s="160"/>
      <c r="D13" s="47">
        <v>0.6</v>
      </c>
      <c r="E13" s="47">
        <v>3.5</v>
      </c>
      <c r="F13" s="89">
        <f>SUM(G13*(100%+$F$8))</f>
        <v>3.2138974999999999</v>
      </c>
      <c r="G13" s="37">
        <v>3.0754999999999999</v>
      </c>
      <c r="I13" s="86">
        <f>G13*104.5%</f>
        <v>3.2138974999999999</v>
      </c>
    </row>
    <row r="14" spans="1:9">
      <c r="A14" s="1"/>
      <c r="B14" s="160" t="s">
        <v>24</v>
      </c>
      <c r="C14" s="160"/>
      <c r="D14" s="47">
        <f>$D$13</f>
        <v>0.6</v>
      </c>
      <c r="E14" s="47">
        <f>$E$13</f>
        <v>3.5</v>
      </c>
      <c r="F14" s="89">
        <f>SUM(G14*(100%+$F$8))</f>
        <v>5.3088089999999992</v>
      </c>
      <c r="G14" s="37">
        <v>5.0801999999999996</v>
      </c>
      <c r="I14" s="86">
        <f t="shared" ref="I14:I24" si="0">G14*104.5%</f>
        <v>5.3088089999999992</v>
      </c>
    </row>
    <row r="15" spans="1:9">
      <c r="A15" s="1"/>
      <c r="B15" s="160" t="s">
        <v>25</v>
      </c>
      <c r="C15" s="160"/>
      <c r="D15" s="47">
        <f>$D$13</f>
        <v>0.6</v>
      </c>
      <c r="E15" s="47">
        <f>$E$13</f>
        <v>3.5</v>
      </c>
      <c r="F15" s="89">
        <f>SUM(G15*(100%+$F$8))</f>
        <v>8.3197674999999993</v>
      </c>
      <c r="G15" s="37">
        <v>7.9615</v>
      </c>
      <c r="I15" s="86">
        <f t="shared" si="0"/>
        <v>8.3197674999999993</v>
      </c>
    </row>
    <row r="16" spans="1:9">
      <c r="A16" s="1"/>
      <c r="B16" s="160" t="s">
        <v>26</v>
      </c>
      <c r="C16" s="160"/>
      <c r="D16" s="47">
        <f>$D$13</f>
        <v>0.6</v>
      </c>
      <c r="E16" s="47">
        <f>$E$13</f>
        <v>3.5</v>
      </c>
      <c r="F16" s="89">
        <f>SUM(G16*(100%+$F$8))</f>
        <v>12.7626895</v>
      </c>
      <c r="G16" s="37">
        <v>12.213100000000001</v>
      </c>
      <c r="I16" s="86">
        <f t="shared" si="0"/>
        <v>12.7626895</v>
      </c>
    </row>
    <row r="17" spans="1:9">
      <c r="A17" s="1"/>
      <c r="B17" s="160" t="s">
        <v>27</v>
      </c>
      <c r="C17" s="160"/>
      <c r="D17" s="47">
        <f>$D$13</f>
        <v>0.6</v>
      </c>
      <c r="E17" s="47">
        <f>$E$13</f>
        <v>3.5</v>
      </c>
      <c r="F17" s="89">
        <f>SUM(G17*(100%+$F$8))</f>
        <v>15.006409</v>
      </c>
      <c r="G17" s="37">
        <v>14.360200000000001</v>
      </c>
      <c r="I17" s="86">
        <f t="shared" si="0"/>
        <v>15.006409</v>
      </c>
    </row>
    <row r="18" spans="1:9">
      <c r="A18" s="1"/>
      <c r="B18" s="161" t="s">
        <v>28</v>
      </c>
      <c r="C18" s="161"/>
      <c r="D18" s="109">
        <f>$D$13</f>
        <v>0.6</v>
      </c>
      <c r="E18" s="109">
        <f>$E$13</f>
        <v>3.5</v>
      </c>
      <c r="I18" s="86"/>
    </row>
    <row r="19" spans="1:9" ht="45" customHeight="1">
      <c r="A19" s="1"/>
      <c r="B19" s="164" t="s">
        <v>29</v>
      </c>
      <c r="C19" s="166"/>
      <c r="D19" s="110"/>
      <c r="E19" s="111"/>
      <c r="F19" s="108">
        <f>IF(Residencial!E10&lt;'% Legalização'!A11,F13,IF(Residencial!E10&lt;'% Legalização'!A12,F14,IF(Residencial!E10&lt;'% Legalização'!A13,F15,IF(Residencial!E10&lt;'% Legalização'!A14,F16,IF(Residencial!E10&lt;'% Legalização'!B14,F17,"Ação Fiscal Obrigatória")))))</f>
        <v>3.2138974999999999</v>
      </c>
      <c r="I19" s="86"/>
    </row>
    <row r="20" spans="1:9" ht="12.75" customHeight="1">
      <c r="A20" s="1"/>
      <c r="B20" s="34"/>
      <c r="C20" s="38"/>
      <c r="D20" s="104"/>
      <c r="E20" s="104"/>
      <c r="I20" s="86"/>
    </row>
    <row r="21" spans="1:9">
      <c r="A21" s="1"/>
      <c r="B21" s="34"/>
      <c r="C21" s="38"/>
      <c r="D21" s="104"/>
      <c r="E21" s="104"/>
      <c r="F21" s="88" t="s">
        <v>20</v>
      </c>
      <c r="I21" s="86"/>
    </row>
    <row r="22" spans="1:9">
      <c r="A22" s="1"/>
      <c r="B22" s="167" t="s">
        <v>30</v>
      </c>
      <c r="C22" s="167" t="s">
        <v>22</v>
      </c>
      <c r="D22" s="36" t="s">
        <v>22</v>
      </c>
      <c r="E22" s="36" t="s">
        <v>22</v>
      </c>
      <c r="F22" s="88" t="s">
        <v>22</v>
      </c>
      <c r="G22" s="7">
        <v>2025</v>
      </c>
      <c r="I22" s="86"/>
    </row>
    <row r="23" spans="1:9">
      <c r="A23" s="1"/>
      <c r="B23" s="160" t="s">
        <v>31</v>
      </c>
      <c r="C23" s="160"/>
      <c r="D23" s="47">
        <f t="shared" ref="D23:E25" si="1">D$13</f>
        <v>0.6</v>
      </c>
      <c r="E23" s="47">
        <f t="shared" si="1"/>
        <v>3.5</v>
      </c>
      <c r="F23" s="89">
        <f>SUM(G23*(100%+$F$8))</f>
        <v>8.3197674999999993</v>
      </c>
      <c r="G23" s="37">
        <v>7.9615</v>
      </c>
      <c r="I23" s="86">
        <f t="shared" si="0"/>
        <v>8.3197674999999993</v>
      </c>
    </row>
    <row r="24" spans="1:9">
      <c r="A24" s="1"/>
      <c r="B24" s="160" t="s">
        <v>32</v>
      </c>
      <c r="C24" s="160"/>
      <c r="D24" s="47">
        <f t="shared" si="1"/>
        <v>0.6</v>
      </c>
      <c r="E24" s="47">
        <f t="shared" si="1"/>
        <v>3.5</v>
      </c>
      <c r="F24" s="89">
        <f>SUM(G24*(100%+$F$8))</f>
        <v>12.7626895</v>
      </c>
      <c r="G24" s="37">
        <v>12.213100000000001</v>
      </c>
      <c r="I24" s="86">
        <f t="shared" si="0"/>
        <v>12.7626895</v>
      </c>
    </row>
    <row r="25" spans="1:9">
      <c r="A25" s="1"/>
      <c r="B25" s="168" t="s">
        <v>28</v>
      </c>
      <c r="C25" s="168"/>
      <c r="D25" s="39">
        <f t="shared" si="1"/>
        <v>0.6</v>
      </c>
      <c r="E25" s="39">
        <f t="shared" si="1"/>
        <v>3.5</v>
      </c>
      <c r="F25" s="89"/>
    </row>
    <row r="26" spans="1:9" ht="45" customHeight="1">
      <c r="A26" s="1"/>
      <c r="B26" s="164" t="s">
        <v>29</v>
      </c>
      <c r="C26" s="164"/>
      <c r="D26" s="112"/>
      <c r="E26" s="112"/>
      <c r="F26" s="91">
        <f>IF(Comercial!E10&lt;='% Legalização'!B18,F23,IF(Comercial!E10&lt;'% Legalização'!B19,F24,"Ação Fiscal Obrigatória"))</f>
        <v>8.3197674999999993</v>
      </c>
    </row>
    <row r="27" spans="1:9">
      <c r="A27" s="1"/>
      <c r="B27" s="34"/>
      <c r="C27" s="38"/>
      <c r="D27" s="112"/>
      <c r="E27" s="112"/>
    </row>
    <row r="28" spans="1:9">
      <c r="A28" s="1"/>
      <c r="B28" s="34"/>
      <c r="C28" s="38"/>
      <c r="D28" s="112"/>
      <c r="E28" s="112"/>
      <c r="F28" s="88" t="s">
        <v>20</v>
      </c>
    </row>
    <row r="29" spans="1:9">
      <c r="A29" s="1"/>
      <c r="B29" s="165" t="s">
        <v>33</v>
      </c>
      <c r="C29" s="165"/>
      <c r="D29" s="36" t="s">
        <v>22</v>
      </c>
      <c r="E29" s="36" t="s">
        <v>22</v>
      </c>
      <c r="F29" s="88" t="s">
        <v>22</v>
      </c>
      <c r="G29" s="7">
        <v>2025</v>
      </c>
    </row>
    <row r="30" spans="1:9">
      <c r="A30" s="1"/>
      <c r="B30" s="160" t="s">
        <v>31</v>
      </c>
      <c r="C30" s="160"/>
      <c r="D30" s="47">
        <f>$D$13</f>
        <v>0.6</v>
      </c>
      <c r="E30" s="47">
        <f>E$13</f>
        <v>3.5</v>
      </c>
      <c r="F30" s="89">
        <f>SUM(G30*(100%+$F$8))</f>
        <v>2.3579379999999999</v>
      </c>
      <c r="G30" s="37">
        <v>2.2564000000000002</v>
      </c>
      <c r="I30" s="86">
        <f t="shared" ref="I30:I32" si="2">G30*104.5%</f>
        <v>2.3579379999999999</v>
      </c>
    </row>
    <row r="31" spans="1:9">
      <c r="A31" s="1"/>
      <c r="B31" s="160" t="s">
        <v>34</v>
      </c>
      <c r="C31" s="160"/>
      <c r="D31" s="47">
        <f>D$13</f>
        <v>0.6</v>
      </c>
      <c r="E31" s="47">
        <f>E$13</f>
        <v>3.5</v>
      </c>
      <c r="F31" s="89">
        <f>SUM(G31*(100%+$F$8))</f>
        <v>2.9327925000000001</v>
      </c>
      <c r="G31" s="37">
        <v>2.8065000000000002</v>
      </c>
      <c r="I31" s="86">
        <f t="shared" si="2"/>
        <v>2.9327925000000001</v>
      </c>
    </row>
    <row r="32" spans="1:9">
      <c r="A32" s="1"/>
      <c r="B32" s="160" t="s">
        <v>35</v>
      </c>
      <c r="C32" s="160"/>
      <c r="D32" s="47">
        <f>D$13</f>
        <v>0.6</v>
      </c>
      <c r="E32" s="47">
        <f>E$13</f>
        <v>3.5</v>
      </c>
      <c r="F32" s="89">
        <f>SUM(G32*(100%+$F$8))</f>
        <v>3.6730704999999997</v>
      </c>
      <c r="G32" s="37">
        <v>3.5148999999999999</v>
      </c>
      <c r="I32" s="86">
        <f t="shared" si="2"/>
        <v>3.6730704999999997</v>
      </c>
    </row>
    <row r="33" spans="1:6">
      <c r="A33" s="1"/>
      <c r="B33" s="161" t="s">
        <v>28</v>
      </c>
      <c r="C33" s="161"/>
      <c r="D33" s="39">
        <f>D$13</f>
        <v>0.6</v>
      </c>
      <c r="E33" s="39">
        <f>E$13</f>
        <v>3.5</v>
      </c>
    </row>
    <row r="34" spans="1:6" ht="45" customHeight="1">
      <c r="A34" s="1"/>
      <c r="B34" s="164" t="s">
        <v>29</v>
      </c>
      <c r="C34" s="164"/>
      <c r="D34" s="1"/>
      <c r="E34" s="1"/>
      <c r="F34" s="92">
        <f>IF(Industrial!E10&lt;='% Legalização'!B23,F30,IF(Industrial!E10&lt;='% Legalização'!B24,F31,IF(Industrial!E10&lt;'% Legalização'!B25,F32,"Ação Fiscal Obrigatória")))</f>
        <v>2.3579379999999999</v>
      </c>
    </row>
    <row r="35" spans="1:6">
      <c r="F35" s="87"/>
    </row>
    <row r="36" spans="1:6">
      <c r="A36" s="28"/>
      <c r="B36" s="198" t="s">
        <v>83</v>
      </c>
      <c r="C36" s="198"/>
      <c r="D36" s="107" t="s">
        <v>84</v>
      </c>
      <c r="F36" s="87"/>
    </row>
    <row r="37" spans="1:6">
      <c r="A37" s="28"/>
      <c r="B37" s="200" t="s">
        <v>85</v>
      </c>
      <c r="C37" s="200"/>
      <c r="D37" s="58">
        <v>50</v>
      </c>
      <c r="F37" s="87"/>
    </row>
    <row r="38" spans="1:6">
      <c r="A38" s="28"/>
      <c r="B38" s="34"/>
      <c r="C38" s="38"/>
      <c r="F38" s="87"/>
    </row>
    <row r="39" spans="1:6">
      <c r="A39" s="28"/>
      <c r="D39" s="192" t="s">
        <v>81</v>
      </c>
      <c r="E39" s="192" t="s">
        <v>80</v>
      </c>
      <c r="F39" s="87"/>
    </row>
    <row r="40" spans="1:6">
      <c r="A40" s="28"/>
      <c r="B40" s="85"/>
      <c r="C40" s="85"/>
      <c r="D40" s="192"/>
      <c r="E40" s="192"/>
      <c r="F40" s="87"/>
    </row>
    <row r="41" spans="1:6">
      <c r="A41" s="28"/>
      <c r="D41" s="192"/>
      <c r="E41" s="192"/>
      <c r="F41" s="87"/>
    </row>
    <row r="42" spans="1:6">
      <c r="A42" s="28"/>
      <c r="B42" s="211"/>
      <c r="C42" s="211"/>
      <c r="D42" s="192"/>
      <c r="E42" s="192"/>
      <c r="F42" s="87"/>
    </row>
    <row r="43" spans="1:6">
      <c r="A43" s="28"/>
      <c r="B43" s="163" t="s">
        <v>87</v>
      </c>
      <c r="C43" s="163"/>
      <c r="D43" s="36" t="s">
        <v>22</v>
      </c>
      <c r="E43" s="36" t="s">
        <v>22</v>
      </c>
      <c r="F43" s="87"/>
    </row>
    <row r="44" spans="1:6">
      <c r="A44" s="28"/>
      <c r="B44" s="163"/>
      <c r="C44" s="163"/>
      <c r="D44" s="47">
        <v>0.2</v>
      </c>
      <c r="E44" s="47">
        <v>1.2</v>
      </c>
      <c r="F44" s="87"/>
    </row>
    <row r="45" spans="1:6">
      <c r="A45" s="28"/>
      <c r="B45" s="34"/>
      <c r="C45" s="38"/>
      <c r="F45" s="87"/>
    </row>
    <row r="46" spans="1:6">
      <c r="A46" s="28"/>
      <c r="B46" s="34"/>
      <c r="C46" s="38"/>
      <c r="D46" s="205" t="s">
        <v>81</v>
      </c>
      <c r="E46" s="205" t="s">
        <v>80</v>
      </c>
      <c r="F46" s="87"/>
    </row>
    <row r="47" spans="1:6">
      <c r="A47" s="1"/>
      <c r="B47" s="34"/>
      <c r="C47" s="38"/>
      <c r="D47" s="206"/>
      <c r="E47" s="206"/>
      <c r="F47" s="87"/>
    </row>
    <row r="48" spans="1:6">
      <c r="A48" s="173" t="s">
        <v>36</v>
      </c>
      <c r="B48" s="173"/>
      <c r="C48" s="34"/>
      <c r="D48" s="206"/>
      <c r="E48" s="206"/>
      <c r="F48" s="88" t="s">
        <v>20</v>
      </c>
    </row>
    <row r="49" spans="1:9">
      <c r="A49" s="162" t="s">
        <v>21</v>
      </c>
      <c r="B49" s="162" t="s">
        <v>22</v>
      </c>
      <c r="C49" s="34"/>
      <c r="D49" s="68" t="s">
        <v>22</v>
      </c>
      <c r="E49" s="68" t="s">
        <v>22</v>
      </c>
      <c r="F49" s="88" t="s">
        <v>22</v>
      </c>
      <c r="G49" s="7">
        <v>2025</v>
      </c>
    </row>
    <row r="50" spans="1:9">
      <c r="A50" s="69" t="s">
        <v>38</v>
      </c>
      <c r="B50" s="174" t="s">
        <v>39</v>
      </c>
      <c r="C50" s="174"/>
      <c r="D50" s="47">
        <f>D13</f>
        <v>0.6</v>
      </c>
      <c r="E50" s="47">
        <f>E13</f>
        <v>3.5</v>
      </c>
      <c r="F50" s="89">
        <f>SUM(G50*(100%+$F$8))</f>
        <v>3.2138974999999999</v>
      </c>
      <c r="G50" s="37">
        <v>3.0754999999999999</v>
      </c>
      <c r="I50" s="86">
        <f t="shared" ref="I50:I54" si="3">G50*104.5%</f>
        <v>3.2138974999999999</v>
      </c>
    </row>
    <row r="51" spans="1:9">
      <c r="A51" s="65" t="s">
        <v>40</v>
      </c>
      <c r="B51" s="169" t="s">
        <v>41</v>
      </c>
      <c r="C51" s="169"/>
      <c r="D51" s="39">
        <f>D$50*1.25</f>
        <v>0.75</v>
      </c>
      <c r="E51" s="39">
        <f>E$50*1.25</f>
        <v>4.375</v>
      </c>
      <c r="F51" s="89">
        <f>SUM(G51*(100%+$F$8))</f>
        <v>5.3088089999999992</v>
      </c>
      <c r="G51" s="37">
        <v>5.0801999999999996</v>
      </c>
      <c r="H51" s="22"/>
      <c r="I51" s="86">
        <f t="shared" si="3"/>
        <v>5.3088089999999992</v>
      </c>
    </row>
    <row r="52" spans="1:9">
      <c r="A52" s="63" t="s">
        <v>42</v>
      </c>
      <c r="B52" s="170" t="s">
        <v>43</v>
      </c>
      <c r="C52" s="170"/>
      <c r="D52" s="60">
        <f>D$50*1.5</f>
        <v>0.89999999999999991</v>
      </c>
      <c r="E52" s="60">
        <f>E$50*1.5</f>
        <v>5.25</v>
      </c>
      <c r="F52" s="89">
        <f>SUM(G52*(100%+$F$8))</f>
        <v>8.3197674999999993</v>
      </c>
      <c r="G52" s="37">
        <v>7.9615</v>
      </c>
      <c r="H52" s="22"/>
      <c r="I52" s="86">
        <f t="shared" si="3"/>
        <v>8.3197674999999993</v>
      </c>
    </row>
    <row r="53" spans="1:9">
      <c r="A53" s="66" t="s">
        <v>44</v>
      </c>
      <c r="B53" s="171" t="s">
        <v>45</v>
      </c>
      <c r="C53" s="171"/>
      <c r="D53" s="61">
        <f>D$50*1.75</f>
        <v>1.05</v>
      </c>
      <c r="E53" s="61">
        <f>E$50*1.75</f>
        <v>6.125</v>
      </c>
      <c r="F53" s="89">
        <f>SUM(G53*(100%+$F$8))</f>
        <v>12.7626895</v>
      </c>
      <c r="G53" s="37">
        <v>12.213100000000001</v>
      </c>
      <c r="H53" s="22"/>
      <c r="I53" s="86">
        <f t="shared" si="3"/>
        <v>12.7626895</v>
      </c>
    </row>
    <row r="54" spans="1:9">
      <c r="A54" s="64" t="s">
        <v>46</v>
      </c>
      <c r="B54" s="172" t="s">
        <v>47</v>
      </c>
      <c r="C54" s="172"/>
      <c r="D54" s="62">
        <f>D$50*2</f>
        <v>1.2</v>
      </c>
      <c r="E54" s="62">
        <f>E$50*2</f>
        <v>7</v>
      </c>
      <c r="F54" s="89">
        <f>SUM(G54*(100%+$F$8))</f>
        <v>15.006409</v>
      </c>
      <c r="G54" s="37">
        <v>14.360200000000001</v>
      </c>
      <c r="H54" s="22"/>
      <c r="I54" s="86">
        <f t="shared" si="3"/>
        <v>15.006409</v>
      </c>
    </row>
    <row r="55" spans="1:9">
      <c r="A55" s="67" t="s">
        <v>28</v>
      </c>
      <c r="B55" s="169" t="s">
        <v>47</v>
      </c>
      <c r="C55" s="169"/>
      <c r="D55" s="39">
        <f>D$50*2</f>
        <v>1.2</v>
      </c>
      <c r="E55" s="39">
        <f>E$50*2</f>
        <v>7</v>
      </c>
      <c r="F55" s="93"/>
      <c r="H55" s="22"/>
    </row>
    <row r="56" spans="1:9" ht="45" customHeight="1">
      <c r="A56" s="181" t="s">
        <v>29</v>
      </c>
      <c r="B56" s="181"/>
      <c r="C56" s="40"/>
      <c r="D56" s="192" t="s">
        <v>81</v>
      </c>
      <c r="E56" s="192" t="s">
        <v>80</v>
      </c>
      <c r="F56" s="93"/>
    </row>
    <row r="57" spans="1:9">
      <c r="A57" s="42"/>
      <c r="B57" s="43"/>
      <c r="C57" s="40"/>
      <c r="D57" s="192"/>
      <c r="E57" s="192"/>
      <c r="F57" s="93"/>
    </row>
    <row r="58" spans="1:9">
      <c r="A58" s="42"/>
      <c r="B58" s="43"/>
      <c r="C58" s="40"/>
      <c r="D58" s="192"/>
      <c r="E58" s="192"/>
      <c r="F58" s="88" t="s">
        <v>20</v>
      </c>
    </row>
    <row r="59" spans="1:9">
      <c r="A59" s="167" t="s">
        <v>30</v>
      </c>
      <c r="B59" s="167" t="s">
        <v>22</v>
      </c>
      <c r="C59" s="40"/>
      <c r="D59" s="68" t="s">
        <v>22</v>
      </c>
      <c r="E59" s="68" t="s">
        <v>22</v>
      </c>
      <c r="F59" s="88" t="s">
        <v>22</v>
      </c>
      <c r="G59" s="7">
        <v>2025</v>
      </c>
    </row>
    <row r="60" spans="1:9">
      <c r="A60" s="71" t="s">
        <v>48</v>
      </c>
      <c r="B60" s="186" t="s">
        <v>47</v>
      </c>
      <c r="C60" s="187"/>
      <c r="D60" s="62">
        <f t="shared" ref="D60:E62" si="4">D$50*2</f>
        <v>1.2</v>
      </c>
      <c r="E60" s="62">
        <f t="shared" si="4"/>
        <v>7</v>
      </c>
      <c r="F60" s="89">
        <f>SUM(G60*(100%+$F$8))</f>
        <v>8.3197674999999993</v>
      </c>
      <c r="G60" s="37">
        <v>7.9615</v>
      </c>
      <c r="I60" s="86">
        <f t="shared" ref="I60:I61" si="5">G60*104.5%</f>
        <v>8.3197674999999993</v>
      </c>
    </row>
    <row r="61" spans="1:9">
      <c r="A61" s="70" t="s">
        <v>32</v>
      </c>
      <c r="B61" s="188" t="s">
        <v>47</v>
      </c>
      <c r="C61" s="189"/>
      <c r="D61" s="62">
        <f t="shared" si="4"/>
        <v>1.2</v>
      </c>
      <c r="E61" s="62">
        <f t="shared" si="4"/>
        <v>7</v>
      </c>
      <c r="F61" s="89">
        <f>SUM(G61*(100%+$F$8))</f>
        <v>12.7626895</v>
      </c>
      <c r="G61" s="37">
        <v>12.213100000000001</v>
      </c>
      <c r="I61" s="86">
        <f t="shared" si="5"/>
        <v>12.7626895</v>
      </c>
    </row>
    <row r="62" spans="1:9">
      <c r="A62" s="72" t="s">
        <v>28</v>
      </c>
      <c r="B62" s="190" t="s">
        <v>47</v>
      </c>
      <c r="C62" s="191"/>
      <c r="D62" s="39">
        <f t="shared" si="4"/>
        <v>1.2</v>
      </c>
      <c r="E62" s="39">
        <f t="shared" si="4"/>
        <v>7</v>
      </c>
      <c r="F62" s="93"/>
    </row>
    <row r="63" spans="1:9" ht="45" customHeight="1">
      <c r="A63" s="181" t="s">
        <v>29</v>
      </c>
      <c r="B63" s="181"/>
      <c r="C63" s="40"/>
      <c r="D63" s="192" t="s">
        <v>81</v>
      </c>
      <c r="E63" s="192" t="s">
        <v>80</v>
      </c>
      <c r="F63" s="93"/>
    </row>
    <row r="64" spans="1:9">
      <c r="A64" s="42"/>
      <c r="B64" s="43"/>
      <c r="C64" s="40"/>
      <c r="D64" s="192"/>
      <c r="E64" s="192"/>
      <c r="F64" s="93"/>
    </row>
    <row r="65" spans="1:9">
      <c r="A65" s="42"/>
      <c r="B65" s="43"/>
      <c r="C65" s="40"/>
      <c r="D65" s="192"/>
      <c r="E65" s="192"/>
      <c r="F65" s="88" t="s">
        <v>20</v>
      </c>
    </row>
    <row r="66" spans="1:9">
      <c r="A66" s="165" t="s">
        <v>33</v>
      </c>
      <c r="B66" s="165"/>
      <c r="C66" s="40"/>
      <c r="D66" s="68" t="s">
        <v>22</v>
      </c>
      <c r="E66" s="68" t="s">
        <v>22</v>
      </c>
      <c r="F66" s="88" t="s">
        <v>22</v>
      </c>
      <c r="G66" s="7">
        <v>2025</v>
      </c>
    </row>
    <row r="67" spans="1:9">
      <c r="A67" s="77" t="s">
        <v>48</v>
      </c>
      <c r="B67" s="182" t="s">
        <v>47</v>
      </c>
      <c r="C67" s="183"/>
      <c r="D67" s="62">
        <f t="shared" ref="D67:E70" si="6">D$50*2</f>
        <v>1.2</v>
      </c>
      <c r="E67" s="62">
        <f t="shared" si="6"/>
        <v>7</v>
      </c>
      <c r="F67" s="89">
        <f>SUM(G67*(100%+$F$8))</f>
        <v>2.3579379999999999</v>
      </c>
      <c r="G67" s="37">
        <v>2.2564000000000002</v>
      </c>
      <c r="I67" s="86">
        <f t="shared" ref="I67:I69" si="7">G67*104.5%</f>
        <v>2.3579379999999999</v>
      </c>
    </row>
    <row r="68" spans="1:9">
      <c r="A68" s="78" t="s">
        <v>49</v>
      </c>
      <c r="B68" s="184" t="s">
        <v>47</v>
      </c>
      <c r="C68" s="185"/>
      <c r="D68" s="62">
        <f t="shared" si="6"/>
        <v>1.2</v>
      </c>
      <c r="E68" s="62">
        <f t="shared" si="6"/>
        <v>7</v>
      </c>
      <c r="F68" s="89">
        <f>SUM(G68*(100%+$F$8))</f>
        <v>2.9327925000000001</v>
      </c>
      <c r="G68" s="37">
        <v>2.8065000000000002</v>
      </c>
      <c r="I68" s="86">
        <f t="shared" si="7"/>
        <v>2.9327925000000001</v>
      </c>
    </row>
    <row r="69" spans="1:9">
      <c r="A69" s="78" t="s">
        <v>50</v>
      </c>
      <c r="B69" s="184" t="s">
        <v>47</v>
      </c>
      <c r="C69" s="185"/>
      <c r="D69" s="62">
        <f t="shared" si="6"/>
        <v>1.2</v>
      </c>
      <c r="E69" s="62">
        <f t="shared" si="6"/>
        <v>7</v>
      </c>
      <c r="F69" s="89">
        <f>SUM(G69*(100%+$F$8))</f>
        <v>3.6730704999999997</v>
      </c>
      <c r="G69" s="37">
        <v>3.5148999999999999</v>
      </c>
      <c r="I69" s="86">
        <f t="shared" si="7"/>
        <v>3.6730704999999997</v>
      </c>
    </row>
    <row r="70" spans="1:9">
      <c r="A70" s="79" t="s">
        <v>28</v>
      </c>
      <c r="B70" s="220" t="s">
        <v>47</v>
      </c>
      <c r="C70" s="221"/>
      <c r="D70" s="39">
        <f t="shared" si="6"/>
        <v>1.2</v>
      </c>
      <c r="E70" s="39">
        <f t="shared" si="6"/>
        <v>7</v>
      </c>
      <c r="G70" s="34"/>
    </row>
    <row r="71" spans="1:9" ht="45" customHeight="1">
      <c r="A71" s="222" t="s">
        <v>29</v>
      </c>
      <c r="B71" s="222"/>
      <c r="C71" s="40"/>
      <c r="D71" s="41"/>
      <c r="E71" s="34"/>
      <c r="F71" s="87"/>
    </row>
    <row r="72" spans="1:9">
      <c r="A72" s="40"/>
      <c r="B72" s="40"/>
      <c r="C72" s="34"/>
      <c r="D72" s="34"/>
      <c r="E72" s="34"/>
      <c r="F72" s="87"/>
    </row>
    <row r="73" spans="1:9">
      <c r="A73" s="40"/>
      <c r="B73" s="40"/>
      <c r="C73" s="34"/>
      <c r="D73" s="34"/>
      <c r="E73" s="34"/>
      <c r="F73" s="87"/>
    </row>
    <row r="74" spans="1:9">
      <c r="A74" s="40"/>
      <c r="B74" s="40"/>
      <c r="C74" s="34"/>
      <c r="D74" s="34"/>
      <c r="E74" s="34"/>
      <c r="F74" s="87"/>
    </row>
    <row r="75" spans="1:9">
      <c r="A75" s="40"/>
      <c r="B75" s="40"/>
      <c r="C75" s="34"/>
      <c r="D75" s="34"/>
      <c r="E75" s="34"/>
      <c r="F75" s="87"/>
    </row>
    <row r="76" spans="1:9">
      <c r="A76" s="40"/>
      <c r="B76" s="40"/>
      <c r="C76" s="34"/>
      <c r="D76" s="34"/>
      <c r="E76" s="34"/>
      <c r="F76" s="87"/>
    </row>
    <row r="77" spans="1:9">
      <c r="A77" s="40"/>
      <c r="B77" s="40"/>
      <c r="C77" s="34"/>
      <c r="D77" s="34"/>
      <c r="E77" s="34"/>
      <c r="F77" s="87"/>
    </row>
    <row r="78" spans="1:9">
      <c r="A78" s="40"/>
      <c r="B78" s="40"/>
      <c r="C78" s="34"/>
      <c r="D78" s="44"/>
      <c r="E78" s="44"/>
      <c r="F78" s="94"/>
    </row>
    <row r="79" spans="1:9">
      <c r="A79" s="175" t="s">
        <v>51</v>
      </c>
      <c r="B79" s="176"/>
      <c r="C79" s="34"/>
      <c r="D79" s="35"/>
      <c r="E79" s="35"/>
      <c r="F79" s="87"/>
    </row>
    <row r="80" spans="1:9">
      <c r="A80" s="80" t="s">
        <v>52</v>
      </c>
      <c r="B80" s="177" t="s">
        <v>39</v>
      </c>
      <c r="C80" s="178"/>
      <c r="D80" s="35"/>
      <c r="E80" s="35"/>
      <c r="F80" s="87"/>
    </row>
    <row r="81" spans="1:6">
      <c r="A81" s="81" t="s">
        <v>53</v>
      </c>
      <c r="B81" s="179" t="s">
        <v>41</v>
      </c>
      <c r="C81" s="180"/>
      <c r="D81" s="35"/>
      <c r="E81" s="35"/>
      <c r="F81" s="87"/>
    </row>
    <row r="82" spans="1:6">
      <c r="A82" s="82" t="s">
        <v>54</v>
      </c>
      <c r="B82" s="212" t="s">
        <v>43</v>
      </c>
      <c r="C82" s="213"/>
      <c r="D82" s="35"/>
      <c r="E82" s="35"/>
      <c r="F82" s="87"/>
    </row>
    <row r="83" spans="1:6">
      <c r="A83" s="35"/>
      <c r="B83" s="35"/>
      <c r="C83" s="40"/>
      <c r="D83" s="1"/>
      <c r="E83" s="1"/>
      <c r="F83" s="87"/>
    </row>
    <row r="84" spans="1:6">
      <c r="A84" s="1"/>
      <c r="B84" s="1"/>
      <c r="C84" s="45"/>
      <c r="D84" s="35"/>
      <c r="E84" s="35"/>
      <c r="F84" s="87"/>
    </row>
    <row r="85" spans="1:6">
      <c r="A85" s="175" t="s">
        <v>55</v>
      </c>
      <c r="B85" s="176"/>
      <c r="C85" s="45"/>
      <c r="D85" s="35"/>
      <c r="E85" s="35"/>
      <c r="F85" s="87"/>
    </row>
    <row r="86" spans="1:6">
      <c r="A86" s="73" t="s">
        <v>56</v>
      </c>
      <c r="B86" s="214" t="s">
        <v>39</v>
      </c>
      <c r="C86" s="215"/>
      <c r="D86" s="35"/>
      <c r="E86" s="35"/>
      <c r="F86" s="87"/>
    </row>
    <row r="87" spans="1:6">
      <c r="A87" s="74" t="s">
        <v>57</v>
      </c>
      <c r="B87" s="216" t="s">
        <v>41</v>
      </c>
      <c r="C87" s="217"/>
      <c r="D87" s="35"/>
      <c r="E87" s="35"/>
      <c r="F87" s="87"/>
    </row>
    <row r="88" spans="1:6">
      <c r="A88" s="75" t="s">
        <v>53</v>
      </c>
      <c r="B88" s="218" t="s">
        <v>43</v>
      </c>
      <c r="C88" s="219"/>
      <c r="D88" s="35"/>
      <c r="E88" s="35"/>
      <c r="F88" s="87"/>
    </row>
    <row r="89" spans="1:6">
      <c r="A89" s="76" t="s">
        <v>54</v>
      </c>
      <c r="B89" s="202" t="s">
        <v>47</v>
      </c>
      <c r="C89" s="203"/>
      <c r="D89" s="35"/>
      <c r="E89" s="35"/>
      <c r="F89" s="87"/>
    </row>
    <row r="90" spans="1:6">
      <c r="A90" s="1"/>
      <c r="B90" s="34"/>
      <c r="C90" s="38"/>
      <c r="D90" s="1"/>
      <c r="E90" s="1"/>
      <c r="F90" s="87"/>
    </row>
    <row r="91" spans="1:6">
      <c r="A91" s="1"/>
      <c r="D91" s="104"/>
      <c r="E91" s="104"/>
    </row>
    <row r="92" spans="1:6">
      <c r="A92" s="28"/>
      <c r="B92" s="207" t="s">
        <v>83</v>
      </c>
      <c r="C92" s="208"/>
      <c r="D92" s="104"/>
      <c r="E92" s="90"/>
    </row>
    <row r="93" spans="1:6">
      <c r="A93" s="28"/>
      <c r="B93" s="209" t="s">
        <v>101</v>
      </c>
      <c r="C93" s="210"/>
      <c r="D93" s="104"/>
      <c r="E93" s="90"/>
    </row>
    <row r="94" spans="1:6">
      <c r="A94" s="28"/>
      <c r="D94" s="104"/>
      <c r="E94" s="90"/>
    </row>
    <row r="95" spans="1:6">
      <c r="A95" s="173" t="s">
        <v>36</v>
      </c>
      <c r="B95" s="173"/>
      <c r="C95" s="34"/>
      <c r="D95" s="105"/>
      <c r="E95" s="90"/>
    </row>
    <row r="96" spans="1:6">
      <c r="A96" s="162" t="s">
        <v>21</v>
      </c>
      <c r="B96" s="162" t="s">
        <v>22</v>
      </c>
      <c r="C96" s="34"/>
      <c r="D96" s="107" t="s">
        <v>84</v>
      </c>
      <c r="E96" s="90"/>
    </row>
    <row r="97" spans="1:5">
      <c r="A97" s="69" t="s">
        <v>38</v>
      </c>
      <c r="B97" s="174" t="s">
        <v>39</v>
      </c>
      <c r="C97" s="174"/>
      <c r="D97" s="47">
        <f>D37</f>
        <v>50</v>
      </c>
      <c r="E97" s="90"/>
    </row>
    <row r="98" spans="1:5">
      <c r="A98" s="65" t="s">
        <v>40</v>
      </c>
      <c r="B98" s="169" t="s">
        <v>41</v>
      </c>
      <c r="C98" s="169"/>
      <c r="D98" s="39">
        <f>D$37*1.25</f>
        <v>62.5</v>
      </c>
      <c r="E98" s="90"/>
    </row>
    <row r="99" spans="1:5">
      <c r="A99" s="63" t="s">
        <v>42</v>
      </c>
      <c r="B99" s="170" t="s">
        <v>43</v>
      </c>
      <c r="C99" s="170"/>
      <c r="D99" s="60">
        <f>D$37*1.5</f>
        <v>75</v>
      </c>
      <c r="E99" s="90"/>
    </row>
    <row r="100" spans="1:5">
      <c r="A100" s="66" t="s">
        <v>44</v>
      </c>
      <c r="B100" s="171" t="s">
        <v>45</v>
      </c>
      <c r="C100" s="171"/>
      <c r="D100" s="61">
        <f>D$37*1.75</f>
        <v>87.5</v>
      </c>
      <c r="E100" s="90"/>
    </row>
    <row r="101" spans="1:5">
      <c r="A101" s="64" t="s">
        <v>46</v>
      </c>
      <c r="B101" s="172" t="s">
        <v>47</v>
      </c>
      <c r="C101" s="172"/>
      <c r="D101" s="62">
        <f>D$37*2</f>
        <v>100</v>
      </c>
      <c r="E101" s="90"/>
    </row>
    <row r="102" spans="1:5">
      <c r="A102" s="67" t="s">
        <v>28</v>
      </c>
      <c r="B102" s="169" t="s">
        <v>47</v>
      </c>
      <c r="C102" s="180"/>
      <c r="D102" s="39">
        <f>D$37*2</f>
        <v>100</v>
      </c>
      <c r="E102" s="90"/>
    </row>
    <row r="103" spans="1:5" ht="12.75" customHeight="1">
      <c r="A103" s="166" t="s">
        <v>29</v>
      </c>
      <c r="B103" s="194"/>
      <c r="C103" s="40"/>
      <c r="D103" s="90"/>
    </row>
    <row r="105" spans="1:5">
      <c r="A105" s="42"/>
      <c r="B105" s="43"/>
      <c r="C105" s="40"/>
      <c r="D105" s="90"/>
    </row>
    <row r="106" spans="1:5">
      <c r="A106" s="167" t="s">
        <v>30</v>
      </c>
      <c r="B106" s="167" t="s">
        <v>22</v>
      </c>
      <c r="C106" s="40"/>
      <c r="D106" s="107" t="s">
        <v>84</v>
      </c>
      <c r="E106" s="90"/>
    </row>
    <row r="107" spans="1:5">
      <c r="A107" s="71"/>
      <c r="B107" s="186" t="s">
        <v>47</v>
      </c>
      <c r="C107" s="187"/>
      <c r="D107" s="62">
        <f>D101</f>
        <v>100</v>
      </c>
      <c r="E107" s="90"/>
    </row>
    <row r="108" spans="1:5">
      <c r="A108" s="106" t="s">
        <v>28</v>
      </c>
      <c r="B108" s="179" t="s">
        <v>47</v>
      </c>
      <c r="C108" s="180"/>
      <c r="D108" s="39">
        <f>D102</f>
        <v>100</v>
      </c>
      <c r="E108" s="90"/>
    </row>
    <row r="109" spans="1:5">
      <c r="A109" s="42"/>
      <c r="B109" s="43"/>
      <c r="C109" s="40"/>
      <c r="D109" s="90"/>
    </row>
    <row r="110" spans="1:5">
      <c r="A110" s="165" t="s">
        <v>33</v>
      </c>
      <c r="B110" s="165"/>
      <c r="C110" s="40"/>
      <c r="D110" s="107" t="s">
        <v>84</v>
      </c>
      <c r="E110" s="90"/>
    </row>
    <row r="111" spans="1:5">
      <c r="A111" s="71"/>
      <c r="B111" s="186" t="s">
        <v>47</v>
      </c>
      <c r="C111" s="187"/>
      <c r="D111" s="62">
        <f>D107</f>
        <v>100</v>
      </c>
      <c r="E111" s="90"/>
    </row>
    <row r="112" spans="1:5">
      <c r="A112" s="106" t="s">
        <v>28</v>
      </c>
      <c r="B112" s="179" t="s">
        <v>47</v>
      </c>
      <c r="C112" s="180"/>
      <c r="D112" s="39">
        <f>D108</f>
        <v>100</v>
      </c>
      <c r="E112" s="90"/>
    </row>
    <row r="113" spans="1:9">
      <c r="A113" s="181" t="s">
        <v>29</v>
      </c>
      <c r="B113" s="181"/>
      <c r="C113" s="40"/>
      <c r="D113" s="90"/>
      <c r="E113" s="90"/>
    </row>
    <row r="114" spans="1:9">
      <c r="A114" s="28"/>
      <c r="B114" s="102"/>
      <c r="C114" s="103"/>
      <c r="D114" s="90"/>
    </row>
    <row r="115" spans="1:9">
      <c r="A115" s="28"/>
      <c r="B115" s="102"/>
      <c r="C115" s="103"/>
      <c r="D115" s="90"/>
    </row>
    <row r="116" spans="1:9" ht="12.75" customHeight="1">
      <c r="A116" s="28"/>
      <c r="B116" s="102"/>
      <c r="C116" s="103"/>
      <c r="D116" s="90"/>
    </row>
    <row r="117" spans="1:9">
      <c r="A117" s="28"/>
      <c r="B117" s="102"/>
      <c r="C117" s="103"/>
      <c r="D117" s="192" t="s">
        <v>81</v>
      </c>
      <c r="E117" s="192" t="s">
        <v>80</v>
      </c>
    </row>
    <row r="118" spans="1:9">
      <c r="D118" s="192"/>
      <c r="E118" s="192"/>
    </row>
    <row r="119" spans="1:9">
      <c r="B119" s="204" t="s">
        <v>58</v>
      </c>
      <c r="C119" s="204"/>
      <c r="D119" s="192"/>
      <c r="E119" s="192"/>
      <c r="F119" s="88" t="s">
        <v>20</v>
      </c>
    </row>
    <row r="120" spans="1:9" ht="12.75" customHeight="1">
      <c r="B120" s="192" t="s">
        <v>59</v>
      </c>
      <c r="C120" s="192"/>
      <c r="D120" s="36" t="s">
        <v>22</v>
      </c>
      <c r="E120" s="36" t="s">
        <v>22</v>
      </c>
      <c r="F120" s="88" t="s">
        <v>22</v>
      </c>
    </row>
    <row r="121" spans="1:9">
      <c r="B121" s="193" t="s">
        <v>23</v>
      </c>
      <c r="C121" s="193"/>
      <c r="D121" s="47">
        <f>D$13</f>
        <v>0.6</v>
      </c>
      <c r="E121" s="47">
        <v>3.5</v>
      </c>
      <c r="F121" s="89">
        <f>SUM(G121*(100%+$F$8))</f>
        <v>0.96307199999999993</v>
      </c>
      <c r="G121" s="37">
        <v>0.92159999999999997</v>
      </c>
      <c r="I121" s="86">
        <f>G121*104.5%</f>
        <v>0.96307199999999993</v>
      </c>
    </row>
    <row r="122" spans="1:9">
      <c r="B122" s="193" t="s">
        <v>24</v>
      </c>
      <c r="C122" s="193"/>
      <c r="D122" s="47">
        <f>D$13</f>
        <v>0.6</v>
      </c>
      <c r="E122" s="47">
        <f>$E$13</f>
        <v>3.5</v>
      </c>
      <c r="F122" s="89">
        <f>SUM(G122*(100%+$F$8))</f>
        <v>1.5897585000000001</v>
      </c>
      <c r="G122" s="37">
        <v>1.5213000000000001</v>
      </c>
      <c r="I122" s="86">
        <f t="shared" ref="I122:I125" si="8">G122*104.5%</f>
        <v>1.5897585000000001</v>
      </c>
    </row>
    <row r="123" spans="1:9">
      <c r="B123" s="193" t="s">
        <v>25</v>
      </c>
      <c r="C123" s="193"/>
      <c r="D123" s="47">
        <f>D$13</f>
        <v>0.6</v>
      </c>
      <c r="E123" s="47">
        <f>$E$13</f>
        <v>3.5</v>
      </c>
      <c r="F123" s="89">
        <f>SUM(G123*(100%+$F$8))</f>
        <v>2.4932654999999997</v>
      </c>
      <c r="G123" s="37">
        <v>2.3858999999999999</v>
      </c>
      <c r="I123" s="86">
        <f t="shared" si="8"/>
        <v>2.4932654999999997</v>
      </c>
    </row>
    <row r="124" spans="1:9">
      <c r="B124" s="193" t="s">
        <v>26</v>
      </c>
      <c r="C124" s="193"/>
      <c r="D124" s="47">
        <f>D$13</f>
        <v>0.6</v>
      </c>
      <c r="E124" s="47">
        <f>$E$13</f>
        <v>3.5</v>
      </c>
      <c r="F124" s="116">
        <f>SUM(G124*(100%+$F$8))</f>
        <v>3.8267899999999995</v>
      </c>
      <c r="G124" s="37">
        <v>3.6619999999999999</v>
      </c>
      <c r="I124" s="86">
        <f t="shared" si="8"/>
        <v>3.8267899999999995</v>
      </c>
    </row>
    <row r="125" spans="1:9">
      <c r="B125" s="193" t="s">
        <v>61</v>
      </c>
      <c r="C125" s="193"/>
      <c r="D125" s="47">
        <f>D$13</f>
        <v>0.6</v>
      </c>
      <c r="E125" s="47">
        <f>$E$13</f>
        <v>3.5</v>
      </c>
      <c r="F125" s="89">
        <f>SUM(G125*(100%+$F$8))</f>
        <v>4.5014419999999999</v>
      </c>
      <c r="G125" s="37">
        <v>4.3075999999999999</v>
      </c>
      <c r="I125" s="86">
        <f t="shared" si="8"/>
        <v>4.5014419999999999</v>
      </c>
    </row>
    <row r="126" spans="1:9">
      <c r="B126" s="40"/>
      <c r="C126" s="38"/>
      <c r="D126" s="34"/>
      <c r="E126" s="34"/>
      <c r="F126" s="117"/>
    </row>
    <row r="127" spans="1:9">
      <c r="B127" s="198" t="s">
        <v>82</v>
      </c>
      <c r="C127" s="198"/>
      <c r="D127" s="34"/>
      <c r="E127" s="34"/>
      <c r="F127" s="117"/>
    </row>
    <row r="128" spans="1:9">
      <c r="B128" s="113" t="s">
        <v>62</v>
      </c>
      <c r="C128" s="36" t="s">
        <v>22</v>
      </c>
      <c r="D128" s="34"/>
      <c r="E128" s="34"/>
      <c r="F128" s="117"/>
    </row>
    <row r="129" spans="1:8" ht="12.75" customHeight="1">
      <c r="A129" s="200" t="s">
        <v>86</v>
      </c>
      <c r="B129" s="200"/>
      <c r="C129" s="199">
        <v>1.5</v>
      </c>
      <c r="D129" s="34"/>
      <c r="E129" s="34"/>
      <c r="F129" s="117"/>
      <c r="H129" s="22">
        <f>C129</f>
        <v>1.5</v>
      </c>
    </row>
    <row r="130" spans="1:8">
      <c r="A130" s="200"/>
      <c r="B130" s="200"/>
      <c r="C130" s="199"/>
      <c r="D130" s="34"/>
      <c r="E130" s="34"/>
      <c r="F130" s="117"/>
      <c r="H130" s="22">
        <f>C131</f>
        <v>0.5</v>
      </c>
    </row>
    <row r="131" spans="1:8">
      <c r="A131" s="201" t="s">
        <v>87</v>
      </c>
      <c r="B131" s="201"/>
      <c r="C131" s="199">
        <v>0.5</v>
      </c>
      <c r="E131" s="34"/>
      <c r="F131" s="117"/>
    </row>
    <row r="132" spans="1:8">
      <c r="A132" s="201"/>
      <c r="B132" s="201"/>
      <c r="C132" s="199"/>
      <c r="D132" s="34"/>
      <c r="E132" s="34"/>
      <c r="F132" s="117"/>
    </row>
    <row r="133" spans="1:8">
      <c r="B133" s="114" t="s">
        <v>88</v>
      </c>
      <c r="C133" s="115">
        <v>50</v>
      </c>
      <c r="D133" s="34"/>
      <c r="E133" s="34"/>
      <c r="F133" s="117"/>
    </row>
    <row r="134" spans="1:8">
      <c r="B134" s="40"/>
      <c r="C134" s="38"/>
      <c r="D134" s="34"/>
      <c r="E134" s="34"/>
      <c r="F134" s="87"/>
    </row>
    <row r="135" spans="1:8">
      <c r="B135" s="40"/>
      <c r="C135" s="38"/>
      <c r="D135" s="34"/>
      <c r="E135" s="34"/>
      <c r="F135" s="87"/>
    </row>
    <row r="136" spans="1:8" hidden="1">
      <c r="B136" s="120" t="s">
        <v>94</v>
      </c>
      <c r="C136" s="38"/>
      <c r="D136" s="34"/>
      <c r="E136" s="34"/>
      <c r="F136" s="87"/>
    </row>
    <row r="137" spans="1:8" hidden="1">
      <c r="B137" s="40"/>
      <c r="C137" s="38"/>
      <c r="D137" s="34"/>
      <c r="E137" s="34"/>
      <c r="F137" s="87"/>
    </row>
    <row r="138" spans="1:8" hidden="1">
      <c r="B138" s="196" t="s">
        <v>63</v>
      </c>
      <c r="C138" s="196"/>
      <c r="D138" s="34"/>
      <c r="E138" s="34"/>
      <c r="F138" s="87"/>
    </row>
    <row r="139" spans="1:8" hidden="1">
      <c r="B139" s="40"/>
      <c r="C139" s="38"/>
      <c r="D139" s="34"/>
      <c r="E139" s="34"/>
      <c r="F139" s="87"/>
    </row>
    <row r="140" spans="1:8" hidden="1">
      <c r="B140" s="196" t="s">
        <v>64</v>
      </c>
      <c r="C140" s="196"/>
      <c r="D140" s="34"/>
      <c r="E140" s="34"/>
      <c r="F140" s="87"/>
    </row>
    <row r="141" spans="1:8" hidden="1">
      <c r="B141" s="55" t="s">
        <v>65</v>
      </c>
      <c r="C141" s="47"/>
      <c r="D141" s="34"/>
      <c r="E141" s="34"/>
      <c r="F141" s="87"/>
    </row>
    <row r="142" spans="1:8" hidden="1">
      <c r="B142" s="34"/>
      <c r="C142" s="38"/>
      <c r="D142" s="34"/>
      <c r="E142" s="34"/>
      <c r="F142" s="87"/>
    </row>
    <row r="143" spans="1:8" hidden="1">
      <c r="B143" s="196" t="s">
        <v>66</v>
      </c>
      <c r="C143" s="196"/>
      <c r="D143" s="34"/>
      <c r="E143" s="34"/>
      <c r="F143" s="87"/>
    </row>
    <row r="144" spans="1:8" hidden="1">
      <c r="B144" s="55" t="s">
        <v>65</v>
      </c>
      <c r="C144" s="47"/>
      <c r="D144" s="34"/>
      <c r="E144" s="34"/>
      <c r="F144" s="87"/>
    </row>
    <row r="145" spans="2:7" hidden="1">
      <c r="B145" s="40"/>
      <c r="C145" s="38"/>
      <c r="D145" s="34"/>
      <c r="E145" s="34"/>
      <c r="F145" s="87"/>
    </row>
    <row r="146" spans="2:7" hidden="1">
      <c r="B146" s="196" t="s">
        <v>62</v>
      </c>
      <c r="C146" s="196"/>
      <c r="D146" s="34"/>
      <c r="E146" s="34"/>
      <c r="F146" s="87"/>
    </row>
    <row r="147" spans="2:7" ht="38.25" hidden="1">
      <c r="B147" s="57" t="s">
        <v>67</v>
      </c>
      <c r="C147" s="58"/>
      <c r="D147" s="34"/>
      <c r="E147" s="34"/>
      <c r="F147" s="87"/>
    </row>
    <row r="148" spans="2:7" hidden="1">
      <c r="B148" s="55" t="s">
        <v>68</v>
      </c>
      <c r="C148" s="58"/>
      <c r="D148" s="34"/>
      <c r="E148" s="34"/>
      <c r="F148" s="87"/>
    </row>
    <row r="149" spans="2:7" hidden="1">
      <c r="B149" s="59" t="s">
        <v>69</v>
      </c>
      <c r="C149" s="58"/>
      <c r="D149" s="34"/>
      <c r="E149" s="34"/>
      <c r="F149" s="87"/>
    </row>
    <row r="150" spans="2:7" hidden="1">
      <c r="B150" s="55" t="s">
        <v>70</v>
      </c>
      <c r="C150" s="58"/>
      <c r="D150" s="34"/>
      <c r="E150" s="34"/>
      <c r="F150" s="87"/>
    </row>
    <row r="151" spans="2:7" hidden="1">
      <c r="B151" s="55" t="s">
        <v>71</v>
      </c>
      <c r="C151" s="58">
        <f>SUM(G151*(100%+$F$8))</f>
        <v>27.250464999999998</v>
      </c>
      <c r="D151" s="34"/>
      <c r="E151" s="46"/>
      <c r="F151" s="87"/>
      <c r="G151" s="47">
        <v>26.077000000000002</v>
      </c>
    </row>
    <row r="152" spans="2:7" hidden="1"/>
    <row r="153" spans="2:7" hidden="1">
      <c r="B153" s="196" t="s">
        <v>72</v>
      </c>
      <c r="C153" s="196"/>
      <c r="D153" s="56" t="s">
        <v>37</v>
      </c>
      <c r="E153" s="40"/>
      <c r="F153" s="88" t="s">
        <v>20</v>
      </c>
    </row>
    <row r="154" spans="2:7" hidden="1">
      <c r="B154" s="197" t="s">
        <v>21</v>
      </c>
      <c r="C154" s="197"/>
      <c r="D154" s="47"/>
      <c r="E154" s="56" t="s">
        <v>60</v>
      </c>
      <c r="F154" s="95"/>
    </row>
    <row r="155" spans="2:7" hidden="1">
      <c r="B155" s="195" t="s">
        <v>30</v>
      </c>
      <c r="C155" s="195"/>
      <c r="D155" s="47"/>
      <c r="E155" s="56" t="s">
        <v>60</v>
      </c>
      <c r="F155" s="95"/>
    </row>
    <row r="156" spans="2:7" hidden="1">
      <c r="B156" s="195" t="s">
        <v>33</v>
      </c>
      <c r="C156" s="195"/>
      <c r="D156" s="47"/>
      <c r="E156" s="56" t="s">
        <v>60</v>
      </c>
      <c r="F156" s="95"/>
    </row>
    <row r="157" spans="2:7" hidden="1"/>
    <row r="158" spans="2:7" hidden="1"/>
    <row r="159" spans="2:7" hidden="1"/>
  </sheetData>
  <sheetProtection password="81F1" sheet="1" objects="1" scenarios="1"/>
  <mergeCells count="105">
    <mergeCell ref="D46:D48"/>
    <mergeCell ref="E46:E48"/>
    <mergeCell ref="B36:C36"/>
    <mergeCell ref="B37:C37"/>
    <mergeCell ref="B92:C92"/>
    <mergeCell ref="B93:C93"/>
    <mergeCell ref="A113:B113"/>
    <mergeCell ref="D39:D42"/>
    <mergeCell ref="E39:E42"/>
    <mergeCell ref="B43:C44"/>
    <mergeCell ref="B42:C42"/>
    <mergeCell ref="A110:B110"/>
    <mergeCell ref="B111:C111"/>
    <mergeCell ref="B112:C112"/>
    <mergeCell ref="B108:C108"/>
    <mergeCell ref="D63:D65"/>
    <mergeCell ref="E63:E65"/>
    <mergeCell ref="B82:C82"/>
    <mergeCell ref="A85:B85"/>
    <mergeCell ref="B86:C86"/>
    <mergeCell ref="B87:C87"/>
    <mergeCell ref="B88:C88"/>
    <mergeCell ref="B70:C70"/>
    <mergeCell ref="A71:B71"/>
    <mergeCell ref="D117:D119"/>
    <mergeCell ref="E117:E119"/>
    <mergeCell ref="D56:D58"/>
    <mergeCell ref="E56:E58"/>
    <mergeCell ref="D8:D11"/>
    <mergeCell ref="E8:E11"/>
    <mergeCell ref="B156:C156"/>
    <mergeCell ref="B143:C143"/>
    <mergeCell ref="B146:C146"/>
    <mergeCell ref="B153:C153"/>
    <mergeCell ref="B154:C154"/>
    <mergeCell ref="B155:C155"/>
    <mergeCell ref="B123:C123"/>
    <mergeCell ref="B124:C124"/>
    <mergeCell ref="B125:C125"/>
    <mergeCell ref="B138:C138"/>
    <mergeCell ref="B140:C140"/>
    <mergeCell ref="B127:C127"/>
    <mergeCell ref="C129:C130"/>
    <mergeCell ref="C131:C132"/>
    <mergeCell ref="A129:B130"/>
    <mergeCell ref="A131:B132"/>
    <mergeCell ref="B89:C89"/>
    <mergeCell ref="B119:C119"/>
    <mergeCell ref="B120:C120"/>
    <mergeCell ref="B121:C121"/>
    <mergeCell ref="B122:C122"/>
    <mergeCell ref="A95:B95"/>
    <mergeCell ref="A96:B96"/>
    <mergeCell ref="B97:C97"/>
    <mergeCell ref="B98:C98"/>
    <mergeCell ref="B99:C99"/>
    <mergeCell ref="B100:C100"/>
    <mergeCell ref="B101:C101"/>
    <mergeCell ref="B102:C102"/>
    <mergeCell ref="A103:B103"/>
    <mergeCell ref="A106:B106"/>
    <mergeCell ref="B107:C107"/>
    <mergeCell ref="A79:B79"/>
    <mergeCell ref="B80:C80"/>
    <mergeCell ref="B81:C81"/>
    <mergeCell ref="A63:B63"/>
    <mergeCell ref="A66:B66"/>
    <mergeCell ref="B67:C67"/>
    <mergeCell ref="B68:C68"/>
    <mergeCell ref="B69:C69"/>
    <mergeCell ref="A56:B56"/>
    <mergeCell ref="A59:B59"/>
    <mergeCell ref="B60:C60"/>
    <mergeCell ref="B61:C61"/>
    <mergeCell ref="B62:C62"/>
    <mergeCell ref="B51:C51"/>
    <mergeCell ref="B52:C52"/>
    <mergeCell ref="B53:C53"/>
    <mergeCell ref="B54:C54"/>
    <mergeCell ref="B55:C55"/>
    <mergeCell ref="B33:C33"/>
    <mergeCell ref="B34:C34"/>
    <mergeCell ref="A48:B48"/>
    <mergeCell ref="A49:B49"/>
    <mergeCell ref="B50:C50"/>
    <mergeCell ref="B26:C26"/>
    <mergeCell ref="B29:C29"/>
    <mergeCell ref="B30:C30"/>
    <mergeCell ref="B31:C31"/>
    <mergeCell ref="B32:C32"/>
    <mergeCell ref="B19:C19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7:C7"/>
    <mergeCell ref="B8:C8"/>
    <mergeCell ref="B12:C12"/>
    <mergeCell ref="B13:C13"/>
    <mergeCell ref="B10:C11"/>
  </mergeCells>
  <printOptions horizontalCentered="1"/>
  <pageMargins left="0.78740157480314965" right="0.78740157480314965" top="1.0236220472440944" bottom="1.0236220472440944" header="0.78740157480314965" footer="0.78740157480314965"/>
  <pageSetup paperSize="9" scale="65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6"/>
  <sheetViews>
    <sheetView zoomScaleNormal="100" workbookViewId="0">
      <selection activeCell="C24" sqref="C24"/>
    </sheetView>
  </sheetViews>
  <sheetFormatPr defaultColWidth="11.5703125" defaultRowHeight="12.75"/>
  <cols>
    <col min="1" max="16384" width="11.5703125" style="48"/>
  </cols>
  <sheetData>
    <row r="1" spans="1:5">
      <c r="A1" s="223" t="s">
        <v>73</v>
      </c>
      <c r="B1" s="223"/>
      <c r="C1" s="49" t="s">
        <v>74</v>
      </c>
      <c r="E1" s="120" t="s">
        <v>94</v>
      </c>
    </row>
    <row r="2" spans="1:5">
      <c r="A2" s="50">
        <v>0</v>
      </c>
      <c r="B2" s="50">
        <v>69.989999999999995</v>
      </c>
      <c r="C2" s="50">
        <v>0</v>
      </c>
    </row>
    <row r="3" spans="1:5">
      <c r="A3" s="50">
        <v>70</v>
      </c>
      <c r="B3" s="50">
        <v>199.99</v>
      </c>
      <c r="C3" s="51">
        <v>1.25</v>
      </c>
    </row>
    <row r="4" spans="1:5">
      <c r="A4" s="50">
        <v>120</v>
      </c>
      <c r="B4" s="50">
        <v>179.99</v>
      </c>
      <c r="C4" s="51">
        <v>1.5</v>
      </c>
    </row>
    <row r="5" spans="1:5">
      <c r="A5" s="50">
        <v>180</v>
      </c>
      <c r="B5" s="50">
        <v>249.99</v>
      </c>
      <c r="C5" s="51">
        <v>1.75</v>
      </c>
    </row>
    <row r="6" spans="1:5">
      <c r="A6" s="50">
        <v>250</v>
      </c>
      <c r="B6" s="50">
        <v>500</v>
      </c>
      <c r="C6" s="51">
        <v>2</v>
      </c>
    </row>
    <row r="7" spans="1:5">
      <c r="A7" s="50">
        <v>500.01</v>
      </c>
      <c r="C7" s="52"/>
    </row>
    <row r="8" spans="1:5">
      <c r="A8" s="53"/>
      <c r="B8" s="53"/>
      <c r="C8" s="53"/>
    </row>
    <row r="9" spans="1:5">
      <c r="A9" s="223" t="s">
        <v>75</v>
      </c>
      <c r="B9" s="223"/>
      <c r="C9" s="53"/>
    </row>
    <row r="10" spans="1:5">
      <c r="A10" s="50">
        <v>0</v>
      </c>
      <c r="B10" s="50">
        <v>80</v>
      </c>
      <c r="C10" s="53"/>
    </row>
    <row r="11" spans="1:5">
      <c r="A11" s="50">
        <v>80.010000000000005</v>
      </c>
      <c r="B11" s="50">
        <v>120</v>
      </c>
      <c r="C11" s="53"/>
    </row>
    <row r="12" spans="1:5">
      <c r="A12" s="50">
        <v>120.01</v>
      </c>
      <c r="B12" s="50">
        <v>180</v>
      </c>
      <c r="C12" s="53"/>
    </row>
    <row r="13" spans="1:5">
      <c r="A13" s="50">
        <v>180.01</v>
      </c>
      <c r="B13" s="50">
        <v>250</v>
      </c>
      <c r="C13" s="53"/>
    </row>
    <row r="14" spans="1:5">
      <c r="A14" s="50">
        <v>250.01</v>
      </c>
      <c r="B14" s="50">
        <v>500</v>
      </c>
      <c r="C14" s="53"/>
    </row>
    <row r="15" spans="1:5">
      <c r="A15" s="50">
        <v>500.01</v>
      </c>
      <c r="C15" s="53"/>
    </row>
    <row r="16" spans="1:5">
      <c r="A16" s="53"/>
      <c r="B16" s="53"/>
      <c r="C16" s="53"/>
    </row>
    <row r="17" spans="1:3">
      <c r="A17" s="223" t="s">
        <v>76</v>
      </c>
      <c r="B17" s="223"/>
      <c r="C17" s="49" t="s">
        <v>74</v>
      </c>
    </row>
    <row r="18" spans="1:3">
      <c r="A18" s="50">
        <v>0</v>
      </c>
      <c r="B18" s="50">
        <v>150</v>
      </c>
      <c r="C18" s="50">
        <v>2</v>
      </c>
    </row>
    <row r="19" spans="1:3">
      <c r="A19" s="50">
        <v>150.01</v>
      </c>
      <c r="B19" s="50">
        <v>500</v>
      </c>
      <c r="C19" s="50">
        <v>2</v>
      </c>
    </row>
    <row r="20" spans="1:3">
      <c r="A20" s="50">
        <v>500.01</v>
      </c>
    </row>
    <row r="21" spans="1:3">
      <c r="A21" s="54"/>
      <c r="B21" s="54"/>
    </row>
    <row r="22" spans="1:3">
      <c r="A22" s="223" t="s">
        <v>77</v>
      </c>
      <c r="B22" s="223"/>
      <c r="C22" s="49" t="s">
        <v>74</v>
      </c>
    </row>
    <row r="23" spans="1:3">
      <c r="A23" s="50">
        <v>0</v>
      </c>
      <c r="B23" s="50">
        <v>150</v>
      </c>
      <c r="C23" s="50">
        <v>2</v>
      </c>
    </row>
    <row r="24" spans="1:3">
      <c r="A24" s="50">
        <v>150.01</v>
      </c>
      <c r="B24" s="50">
        <v>300</v>
      </c>
      <c r="C24" s="50">
        <v>2</v>
      </c>
    </row>
    <row r="25" spans="1:3">
      <c r="A25" s="50">
        <v>300.01</v>
      </c>
      <c r="B25" s="50">
        <v>500</v>
      </c>
      <c r="C25" s="50">
        <v>2</v>
      </c>
    </row>
    <row r="26" spans="1:3">
      <c r="A26" s="50">
        <v>500.01</v>
      </c>
    </row>
  </sheetData>
  <mergeCells count="4">
    <mergeCell ref="A1:B1"/>
    <mergeCell ref="A9:B9"/>
    <mergeCell ref="A17:B17"/>
    <mergeCell ref="A22:B22"/>
  </mergeCells>
  <pageMargins left="0.78749999999999998" right="0.78749999999999998" top="1.0249999999999999" bottom="1.0249999999999999" header="0.78749999999999998" footer="0.78749999999999998"/>
  <pageSetup paperSize="9" scale="65" orientation="portrait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17147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Residencial</vt:lpstr>
      <vt:lpstr>Comercial</vt:lpstr>
      <vt:lpstr>Industrial</vt:lpstr>
      <vt:lpstr>Demolição</vt:lpstr>
      <vt:lpstr>Diversos Res.</vt:lpstr>
      <vt:lpstr>Diversos Com. Ind.</vt:lpstr>
      <vt:lpstr>Tabela de Valores 2026</vt:lpstr>
      <vt:lpstr>% Legalização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Faraoni de Godoy</dc:creator>
  <cp:lastModifiedBy>Fábio Faraoni de Godoy</cp:lastModifiedBy>
  <cp:revision>288</cp:revision>
  <cp:lastPrinted>2026-01-05T15:35:35Z</cp:lastPrinted>
  <dcterms:created xsi:type="dcterms:W3CDTF">2024-01-24T08:34:25Z</dcterms:created>
  <dcterms:modified xsi:type="dcterms:W3CDTF">2026-01-22T13:04:32Z</dcterms:modified>
  <dc:language>pt-BR</dc:language>
</cp:coreProperties>
</file>